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User\Desktop\2021\Обновление сайта\Databook\для размещения_2020\"/>
    </mc:Choice>
  </mc:AlternateContent>
  <xr:revisionPtr revIDLastSave="0" documentId="8_{09013A77-13F6-4A6E-AF3A-98CD9F2BFE5C}" xr6:coauthVersionLast="46" xr6:coauthVersionMax="46" xr10:uidLastSave="{00000000-0000-0000-0000-000000000000}"/>
  <bookViews>
    <workbookView xWindow="-108" yWindow="-108" windowWidth="23256" windowHeight="12576" tabRatio="918" xr2:uid="{00000000-000D-0000-FFFF-FFFF00000000}"/>
  </bookViews>
  <sheets>
    <sheet name="Contents" sheetId="27" r:id="rId1"/>
    <sheet name="LanguagePage" sheetId="3" state="hidden" r:id="rId2"/>
    <sheet name="Financial Highlights" sheetId="19" r:id="rId3"/>
    <sheet name="FY_IFRS_PL" sheetId="5" r:id="rId4"/>
    <sheet name="HY_IFRS_PL" sheetId="6" r:id="rId5"/>
    <sheet name="FY_IFRS_BS" sheetId="2" r:id="rId6"/>
    <sheet name="HY_IFRS_BS" sheetId="8" r:id="rId7"/>
    <sheet name="FY_IFRS_CF" sheetId="4" r:id="rId8"/>
    <sheet name="HY_IFRS_CF" sheetId="7" r:id="rId9"/>
    <sheet name="FY_IFRS_EBITDA" sheetId="9" r:id="rId10"/>
    <sheet name="HY_IFRS_EBITDA" sheetId="10" r:id="rId11"/>
    <sheet name="FY_IFRS_Debt" sheetId="12" r:id="rId12"/>
    <sheet name="HY_IFRS_Debt" sheetId="13" r:id="rId13"/>
    <sheet name="Operating Highlights" sheetId="23" r:id="rId14"/>
  </sheets>
  <definedNames>
    <definedName name="С161">LanguagePage!$G$518:$G$524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9" l="1"/>
  <c r="M19" i="19"/>
  <c r="L19" i="19"/>
  <c r="J19" i="19"/>
  <c r="E19" i="19"/>
  <c r="F19" i="19"/>
  <c r="G19" i="19"/>
  <c r="H19" i="19"/>
  <c r="I19" i="19"/>
  <c r="M15" i="19" l="1"/>
  <c r="M16" i="19" s="1"/>
  <c r="L15" i="19"/>
  <c r="L16" i="19" s="1"/>
  <c r="E15" i="19"/>
  <c r="E16" i="19" s="1"/>
  <c r="F15" i="19"/>
  <c r="F16" i="19" s="1"/>
  <c r="G15" i="19"/>
  <c r="G16" i="19" s="1"/>
  <c r="H15" i="19"/>
  <c r="H16" i="19" s="1"/>
  <c r="I15" i="19"/>
  <c r="I16" i="19" s="1"/>
  <c r="J15" i="19"/>
  <c r="J16" i="19" s="1"/>
  <c r="D15" i="19"/>
  <c r="D16" i="19" s="1"/>
  <c r="M13" i="19"/>
  <c r="M14" i="19" s="1"/>
  <c r="L13" i="19"/>
  <c r="L14" i="19" s="1"/>
  <c r="E13" i="19"/>
  <c r="E14" i="19" s="1"/>
  <c r="F13" i="19"/>
  <c r="F14" i="19" s="1"/>
  <c r="G13" i="19"/>
  <c r="G14" i="19" s="1"/>
  <c r="H13" i="19"/>
  <c r="H14" i="19" s="1"/>
  <c r="I13" i="19"/>
  <c r="I14" i="19" s="1"/>
  <c r="J13" i="19"/>
  <c r="J14" i="19" s="1"/>
  <c r="D13" i="19"/>
  <c r="D14" i="19" s="1"/>
  <c r="M11" i="19"/>
  <c r="M12" i="19" s="1"/>
  <c r="L11" i="19"/>
  <c r="L12" i="19" s="1"/>
  <c r="E11" i="19"/>
  <c r="E12" i="19" s="1"/>
  <c r="F11" i="19"/>
  <c r="F12" i="19" s="1"/>
  <c r="G11" i="19"/>
  <c r="G12" i="19" s="1"/>
  <c r="H11" i="19"/>
  <c r="H12" i="19" s="1"/>
  <c r="I11" i="19"/>
  <c r="I12" i="19" s="1"/>
  <c r="J11" i="19"/>
  <c r="J12" i="19" s="1"/>
  <c r="D11" i="19"/>
  <c r="D12" i="19" s="1"/>
  <c r="M9" i="19"/>
  <c r="M10" i="19" s="1"/>
  <c r="L9" i="19"/>
  <c r="L10" i="19" s="1"/>
  <c r="E9" i="19"/>
  <c r="E10" i="19" s="1"/>
  <c r="F9" i="19"/>
  <c r="F10" i="19" s="1"/>
  <c r="G9" i="19"/>
  <c r="G10" i="19" s="1"/>
  <c r="H9" i="19"/>
  <c r="H10" i="19" s="1"/>
  <c r="I9" i="19"/>
  <c r="I10" i="19" s="1"/>
  <c r="J9" i="19"/>
  <c r="J10" i="19" s="1"/>
  <c r="D9" i="19"/>
  <c r="D10" i="19" s="1"/>
  <c r="M8" i="19"/>
  <c r="M18" i="19" s="1"/>
  <c r="L8" i="19"/>
  <c r="L18" i="19" s="1"/>
  <c r="E8" i="19"/>
  <c r="E18" i="19" s="1"/>
  <c r="F8" i="19"/>
  <c r="F18" i="19" s="1"/>
  <c r="G8" i="19"/>
  <c r="G18" i="19" s="1"/>
  <c r="H8" i="19"/>
  <c r="H18" i="19" s="1"/>
  <c r="I8" i="19"/>
  <c r="I18" i="19" s="1"/>
  <c r="J8" i="19"/>
  <c r="J18" i="19" s="1"/>
  <c r="D8" i="19"/>
  <c r="D18" i="19" s="1"/>
  <c r="M24" i="19"/>
  <c r="M22" i="19"/>
  <c r="L24" i="19"/>
  <c r="L22" i="19"/>
  <c r="L23" i="19" s="1"/>
  <c r="E24" i="19"/>
  <c r="F24" i="19"/>
  <c r="G24" i="19"/>
  <c r="H24" i="19"/>
  <c r="I24" i="19"/>
  <c r="J24" i="19"/>
  <c r="D24" i="19"/>
  <c r="E22" i="19"/>
  <c r="F22" i="19"/>
  <c r="G22" i="19"/>
  <c r="H22" i="19"/>
  <c r="I22" i="19"/>
  <c r="J22" i="19"/>
  <c r="D22" i="19"/>
  <c r="K25" i="13"/>
  <c r="K20" i="13"/>
  <c r="K17" i="13"/>
  <c r="K16" i="13"/>
  <c r="K12" i="13"/>
  <c r="K11" i="13"/>
  <c r="K32" i="12"/>
  <c r="W73" i="4" l="1"/>
  <c r="I17" i="2"/>
  <c r="S35" i="6" l="1"/>
  <c r="C35" i="6"/>
  <c r="R35" i="6"/>
  <c r="N35" i="6"/>
  <c r="O35" i="6"/>
  <c r="P35" i="6"/>
  <c r="M35" i="6"/>
  <c r="L35" i="6"/>
  <c r="J35" i="6"/>
  <c r="I35" i="6"/>
  <c r="D35" i="6"/>
  <c r="E35" i="6"/>
  <c r="F35" i="6"/>
  <c r="G35" i="6"/>
  <c r="S14" i="6"/>
  <c r="R14" i="6"/>
  <c r="N14" i="6"/>
  <c r="O14" i="6"/>
  <c r="P14" i="6"/>
  <c r="M14" i="6"/>
  <c r="L14" i="6"/>
  <c r="J14" i="6"/>
  <c r="I14" i="6"/>
  <c r="D14" i="6"/>
  <c r="E14" i="6"/>
  <c r="F14" i="6"/>
  <c r="G14" i="6"/>
  <c r="C14" i="6"/>
  <c r="W50" i="5"/>
  <c r="J12" i="23" l="1"/>
  <c r="J9" i="23"/>
  <c r="W32" i="12"/>
  <c r="W29" i="12"/>
  <c r="W30" i="12"/>
  <c r="W28" i="12"/>
  <c r="T29" i="12"/>
  <c r="T28" i="12"/>
  <c r="T13" i="12"/>
  <c r="T18" i="12"/>
  <c r="L32" i="12"/>
  <c r="I32" i="12"/>
  <c r="L16" i="12"/>
  <c r="W16" i="12" s="1"/>
  <c r="I16" i="12"/>
  <c r="T16" i="12" s="1"/>
  <c r="L11" i="12"/>
  <c r="W11" i="12" s="1"/>
  <c r="I11" i="12"/>
  <c r="T11" i="12" s="1"/>
  <c r="T32" i="12" l="1"/>
  <c r="L17" i="9"/>
  <c r="W17" i="9" s="1"/>
  <c r="W45" i="5" l="1"/>
  <c r="V73" i="4"/>
  <c r="S69" i="4"/>
  <c r="W67" i="4"/>
  <c r="W56" i="4"/>
  <c r="T56" i="4"/>
  <c r="W57" i="4"/>
  <c r="W58" i="4"/>
  <c r="W59" i="4"/>
  <c r="W60" i="4"/>
  <c r="W61" i="4"/>
  <c r="W62" i="4"/>
  <c r="W63" i="4"/>
  <c r="W64" i="4"/>
  <c r="W65" i="4"/>
  <c r="W72" i="4"/>
  <c r="T57" i="4"/>
  <c r="T58" i="4"/>
  <c r="T59" i="4"/>
  <c r="T60" i="4"/>
  <c r="T61" i="4"/>
  <c r="T63" i="4"/>
  <c r="T64" i="4"/>
  <c r="T65" i="4"/>
  <c r="T72" i="4"/>
  <c r="I62" i="4"/>
  <c r="T62" i="4" s="1"/>
  <c r="L67" i="4"/>
  <c r="L62" i="4"/>
  <c r="I67" i="4" l="1"/>
  <c r="T67" i="4"/>
  <c r="L12" i="9" l="1"/>
  <c r="W12" i="9" s="1"/>
  <c r="L10" i="9"/>
  <c r="W10" i="9" s="1"/>
  <c r="L8" i="9"/>
  <c r="W8" i="9" s="1"/>
  <c r="I8" i="9"/>
  <c r="T8" i="9" s="1"/>
  <c r="W43" i="4"/>
  <c r="T53" i="4"/>
  <c r="T43" i="4"/>
  <c r="W44" i="4"/>
  <c r="W45" i="4"/>
  <c r="W53" i="4" s="1"/>
  <c r="W46" i="4"/>
  <c r="W47" i="4"/>
  <c r="W48" i="4"/>
  <c r="W49" i="4"/>
  <c r="W50" i="4"/>
  <c r="W51" i="4"/>
  <c r="T44" i="4"/>
  <c r="T45" i="4"/>
  <c r="T46" i="4"/>
  <c r="T47" i="4"/>
  <c r="T48" i="4"/>
  <c r="T49" i="4"/>
  <c r="T50" i="4"/>
  <c r="T51" i="4"/>
  <c r="W24" i="4"/>
  <c r="T24" i="4"/>
  <c r="W25" i="4"/>
  <c r="W26" i="4"/>
  <c r="W27" i="4"/>
  <c r="W28" i="4"/>
  <c r="W29" i="4"/>
  <c r="W30" i="4"/>
  <c r="W31" i="4"/>
  <c r="W32" i="4"/>
  <c r="W33" i="4"/>
  <c r="W37" i="4"/>
  <c r="T37" i="4"/>
  <c r="T25" i="4"/>
  <c r="T26" i="4"/>
  <c r="T28" i="4"/>
  <c r="T29" i="4"/>
  <c r="T30" i="4"/>
  <c r="T31" i="4"/>
  <c r="T32" i="4"/>
  <c r="T33" i="4"/>
  <c r="W21" i="4"/>
  <c r="W20" i="4"/>
  <c r="W11" i="4"/>
  <c r="W12" i="4"/>
  <c r="W13" i="4"/>
  <c r="W14" i="4"/>
  <c r="W15" i="4"/>
  <c r="W16" i="4"/>
  <c r="W17" i="4"/>
  <c r="W18" i="4"/>
  <c r="W19" i="4"/>
  <c r="T12" i="4"/>
  <c r="T14" i="4"/>
  <c r="T15" i="4"/>
  <c r="T17" i="4"/>
  <c r="T18" i="4"/>
  <c r="T19" i="4"/>
  <c r="T20" i="4"/>
  <c r="L53" i="4"/>
  <c r="I53" i="4"/>
  <c r="L27" i="4"/>
  <c r="I27" i="4"/>
  <c r="T27" i="4" s="1"/>
  <c r="V21" i="4"/>
  <c r="S21" i="4"/>
  <c r="N21" i="4"/>
  <c r="K21" i="4"/>
  <c r="L21" i="4"/>
  <c r="L16" i="4"/>
  <c r="L13" i="4"/>
  <c r="L11" i="4"/>
  <c r="H21" i="4"/>
  <c r="S20" i="4"/>
  <c r="G21" i="4"/>
  <c r="R20" i="4"/>
  <c r="R21" i="4" s="1"/>
  <c r="F21" i="4"/>
  <c r="Q20" i="4"/>
  <c r="Q21" i="4"/>
  <c r="E21" i="4"/>
  <c r="P20" i="4"/>
  <c r="P21" i="4" s="1"/>
  <c r="D21" i="4"/>
  <c r="O20" i="4"/>
  <c r="O21" i="4" s="1"/>
  <c r="C21" i="4"/>
  <c r="N20" i="4"/>
  <c r="I16" i="4"/>
  <c r="T16" i="4" s="1"/>
  <c r="I13" i="4"/>
  <c r="I12" i="9" s="1"/>
  <c r="T12" i="9" s="1"/>
  <c r="I11" i="4"/>
  <c r="T11" i="4" s="1"/>
  <c r="W14" i="9" l="1"/>
  <c r="W8" i="12" s="1"/>
  <c r="W33" i="12" s="1"/>
  <c r="W15" i="9"/>
  <c r="W19" i="9"/>
  <c r="W20" i="9" s="1"/>
  <c r="I21" i="4"/>
  <c r="T13" i="4"/>
  <c r="T21" i="4" s="1"/>
  <c r="L14" i="9"/>
  <c r="L8" i="4"/>
  <c r="W50" i="2"/>
  <c r="V50" i="2"/>
  <c r="S50" i="2"/>
  <c r="W9" i="2"/>
  <c r="W10" i="2"/>
  <c r="W11" i="2"/>
  <c r="W12" i="2"/>
  <c r="W19" i="2" s="1"/>
  <c r="W13" i="2"/>
  <c r="W14" i="2"/>
  <c r="W15" i="2"/>
  <c r="W16" i="2"/>
  <c r="W17" i="2"/>
  <c r="W18" i="2"/>
  <c r="W21" i="2"/>
  <c r="W30" i="2" s="1"/>
  <c r="W22" i="2"/>
  <c r="W23" i="2"/>
  <c r="W24" i="2"/>
  <c r="W25" i="2"/>
  <c r="W26" i="2"/>
  <c r="W27" i="2"/>
  <c r="W28" i="2"/>
  <c r="W29" i="2"/>
  <c r="W36" i="2"/>
  <c r="W37" i="2"/>
  <c r="W38" i="2"/>
  <c r="W40" i="2" s="1"/>
  <c r="W39" i="2"/>
  <c r="W41" i="2"/>
  <c r="W44" i="2"/>
  <c r="W45" i="2"/>
  <c r="W46" i="2"/>
  <c r="W47" i="2"/>
  <c r="W48" i="2"/>
  <c r="W49" i="2"/>
  <c r="W52" i="2"/>
  <c r="W53" i="2"/>
  <c r="W54" i="2"/>
  <c r="W59" i="2" s="1"/>
  <c r="W55" i="2"/>
  <c r="W56" i="2"/>
  <c r="W57" i="2"/>
  <c r="W58" i="2"/>
  <c r="T10" i="2"/>
  <c r="T11" i="2"/>
  <c r="T12" i="2"/>
  <c r="T13" i="2"/>
  <c r="T14" i="2"/>
  <c r="T15" i="2"/>
  <c r="T16" i="2"/>
  <c r="T18" i="2"/>
  <c r="T21" i="2"/>
  <c r="T22" i="2"/>
  <c r="T23" i="2"/>
  <c r="T24" i="2"/>
  <c r="T25" i="2"/>
  <c r="T26" i="2"/>
  <c r="T27" i="2"/>
  <c r="T28" i="2"/>
  <c r="T29" i="2"/>
  <c r="T36" i="2"/>
  <c r="T37" i="2"/>
  <c r="T38" i="2"/>
  <c r="T41" i="2"/>
  <c r="T44" i="2"/>
  <c r="T46" i="2"/>
  <c r="T47" i="2"/>
  <c r="T48" i="2"/>
  <c r="T49" i="2"/>
  <c r="T52" i="2"/>
  <c r="T53" i="2"/>
  <c r="T55" i="2"/>
  <c r="T56" i="2"/>
  <c r="T57" i="2"/>
  <c r="T58" i="2"/>
  <c r="L63" i="2"/>
  <c r="L61" i="2"/>
  <c r="L59" i="2"/>
  <c r="L54" i="2"/>
  <c r="I54" i="2"/>
  <c r="L50" i="2"/>
  <c r="L45" i="2"/>
  <c r="V49" i="2"/>
  <c r="K50" i="2"/>
  <c r="C50" i="2"/>
  <c r="D50" i="2"/>
  <c r="E50" i="2"/>
  <c r="F50" i="2"/>
  <c r="G50" i="2"/>
  <c r="H50" i="2"/>
  <c r="S49" i="2"/>
  <c r="R49" i="2"/>
  <c r="R50" i="2"/>
  <c r="Q49" i="2"/>
  <c r="Q50" i="2"/>
  <c r="P49" i="2"/>
  <c r="P50" i="2" s="1"/>
  <c r="O49" i="2"/>
  <c r="O50" i="2" s="1"/>
  <c r="N49" i="2"/>
  <c r="N50" i="2" s="1"/>
  <c r="W8" i="4" l="1"/>
  <c r="W35" i="4" s="1"/>
  <c r="W39" i="4" s="1"/>
  <c r="W69" i="4" s="1"/>
  <c r="L35" i="4"/>
  <c r="L39" i="4" s="1"/>
  <c r="L69" i="4" s="1"/>
  <c r="L73" i="4" s="1"/>
  <c r="L8" i="12"/>
  <c r="L33" i="12" s="1"/>
  <c r="L15" i="9"/>
  <c r="L19" i="9"/>
  <c r="T54" i="2"/>
  <c r="T59" i="2" s="1"/>
  <c r="I17" i="12"/>
  <c r="I59" i="2"/>
  <c r="W61" i="2"/>
  <c r="W63" i="2" s="1"/>
  <c r="W42" i="2"/>
  <c r="W32" i="2"/>
  <c r="T30" i="2"/>
  <c r="M23" i="19" l="1"/>
  <c r="L23" i="12"/>
  <c r="W23" i="12" s="1"/>
  <c r="L20" i="9"/>
  <c r="T17" i="12"/>
  <c r="T15" i="12" s="1"/>
  <c r="L17" i="12"/>
  <c r="I15" i="12"/>
  <c r="L18" i="12" l="1"/>
  <c r="W18" i="12" s="1"/>
  <c r="W17" i="12"/>
  <c r="W15" i="12" l="1"/>
  <c r="L15" i="12"/>
  <c r="I45" i="2" l="1"/>
  <c r="I12" i="12" s="1"/>
  <c r="L39" i="2"/>
  <c r="L40" i="2"/>
  <c r="L42" i="2" s="1"/>
  <c r="I39" i="2"/>
  <c r="T39" i="2" s="1"/>
  <c r="T40" i="2" s="1"/>
  <c r="T42" i="2" s="1"/>
  <c r="L23" i="2"/>
  <c r="L30" i="2" s="1"/>
  <c r="I23" i="2"/>
  <c r="I30" i="2" s="1"/>
  <c r="L17" i="2"/>
  <c r="T17" i="2"/>
  <c r="L9" i="2"/>
  <c r="L19" i="2" s="1"/>
  <c r="I9" i="2"/>
  <c r="V36" i="5"/>
  <c r="W8" i="5"/>
  <c r="W12" i="5" s="1"/>
  <c r="W36" i="5" s="1"/>
  <c r="W10" i="5"/>
  <c r="W16" i="5"/>
  <c r="W14" i="5" s="1"/>
  <c r="W17" i="5"/>
  <c r="W18" i="5"/>
  <c r="W19" i="5"/>
  <c r="W20" i="5"/>
  <c r="W21" i="5"/>
  <c r="W22" i="5"/>
  <c r="W23" i="5"/>
  <c r="W24" i="5"/>
  <c r="W25" i="5"/>
  <c r="W26" i="5"/>
  <c r="W27" i="5"/>
  <c r="W28" i="5"/>
  <c r="W29" i="5"/>
  <c r="W30" i="5"/>
  <c r="W32" i="5"/>
  <c r="W33" i="5"/>
  <c r="W34" i="5"/>
  <c r="W39" i="5"/>
  <c r="W38" i="5" s="1"/>
  <c r="W40" i="5"/>
  <c r="W42" i="5"/>
  <c r="W48" i="5"/>
  <c r="N36" i="5"/>
  <c r="O36" i="5"/>
  <c r="P36" i="5"/>
  <c r="Q36" i="5"/>
  <c r="R36" i="5"/>
  <c r="S36" i="5"/>
  <c r="T8" i="5"/>
  <c r="T10" i="5"/>
  <c r="T16" i="5"/>
  <c r="T17" i="5"/>
  <c r="T19" i="5"/>
  <c r="T21" i="5"/>
  <c r="T22" i="5"/>
  <c r="T23" i="5"/>
  <c r="T24" i="5"/>
  <c r="T25" i="5"/>
  <c r="T26" i="5"/>
  <c r="T27" i="5"/>
  <c r="T28" i="5"/>
  <c r="T29" i="5"/>
  <c r="T30" i="5"/>
  <c r="T32" i="5"/>
  <c r="T33" i="5"/>
  <c r="T34" i="5"/>
  <c r="T40" i="5"/>
  <c r="T42" i="5"/>
  <c r="T48" i="5"/>
  <c r="I40" i="2" l="1"/>
  <c r="I42" i="2" s="1"/>
  <c r="T12" i="12"/>
  <c r="T10" i="12" s="1"/>
  <c r="T20" i="12" s="1"/>
  <c r="L12" i="12"/>
  <c r="I10" i="12"/>
  <c r="I20" i="12" s="1"/>
  <c r="T12" i="5"/>
  <c r="T45" i="2"/>
  <c r="T50" i="2" s="1"/>
  <c r="T61" i="2" s="1"/>
  <c r="T63" i="2" s="1"/>
  <c r="I50" i="2"/>
  <c r="I61" i="2" s="1"/>
  <c r="I19" i="2"/>
  <c r="I32" i="2" s="1"/>
  <c r="T9" i="2"/>
  <c r="T19" i="2" s="1"/>
  <c r="T32" i="2" s="1"/>
  <c r="L32" i="2"/>
  <c r="W44" i="5"/>
  <c r="W47" i="5" s="1"/>
  <c r="L50" i="5"/>
  <c r="L47" i="5"/>
  <c r="L45" i="5"/>
  <c r="I45" i="5"/>
  <c r="T45" i="5" s="1"/>
  <c r="L44" i="5"/>
  <c r="L39" i="5"/>
  <c r="L38" i="5"/>
  <c r="I39" i="5"/>
  <c r="T39" i="5" s="1"/>
  <c r="T38" i="5" s="1"/>
  <c r="K36" i="5"/>
  <c r="L36" i="5"/>
  <c r="L20" i="5"/>
  <c r="L18" i="5"/>
  <c r="I63" i="2" l="1"/>
  <c r="W12" i="12"/>
  <c r="L13" i="12"/>
  <c r="W13" i="12" s="1"/>
  <c r="I38" i="5"/>
  <c r="L14" i="5"/>
  <c r="L10" i="12" l="1"/>
  <c r="L20" i="12" s="1"/>
  <c r="W10" i="12"/>
  <c r="W20" i="12" s="1"/>
  <c r="I20" i="5"/>
  <c r="T20" i="5" s="1"/>
  <c r="I18" i="5"/>
  <c r="L12" i="5"/>
  <c r="I12" i="5"/>
  <c r="W21" i="12" l="1"/>
  <c r="W25" i="12"/>
  <c r="W26" i="12" s="1"/>
  <c r="L21" i="12"/>
  <c r="L25" i="12"/>
  <c r="L26" i="12" s="1"/>
  <c r="T18" i="5"/>
  <c r="T14" i="5" s="1"/>
  <c r="T36" i="5" s="1"/>
  <c r="T44" i="5" s="1"/>
  <c r="T47" i="5" s="1"/>
  <c r="T50" i="5" s="1"/>
  <c r="I17" i="9"/>
  <c r="T17" i="9" s="1"/>
  <c r="I14" i="5"/>
  <c r="I36" i="5" s="1"/>
  <c r="I44" i="5" l="1"/>
  <c r="I47" i="5" s="1"/>
  <c r="I10" i="9"/>
  <c r="I14" i="9" l="1"/>
  <c r="T10" i="9"/>
  <c r="T14" i="9" s="1"/>
  <c r="T8" i="12" s="1"/>
  <c r="I8" i="4"/>
  <c r="I50" i="5"/>
  <c r="I8" i="12" l="1"/>
  <c r="I19" i="9"/>
  <c r="T15" i="9"/>
  <c r="T19" i="9"/>
  <c r="T20" i="9" s="1"/>
  <c r="I15" i="9"/>
  <c r="T8" i="4"/>
  <c r="T35" i="4" s="1"/>
  <c r="T39" i="4" s="1"/>
  <c r="T69" i="4" s="1"/>
  <c r="I35" i="4"/>
  <c r="I39" i="4" s="1"/>
  <c r="I69" i="4" s="1"/>
  <c r="I73" i="4" s="1"/>
  <c r="T73" i="4" l="1"/>
  <c r="I23" i="12"/>
  <c r="I20" i="9"/>
  <c r="T23" i="12" l="1"/>
  <c r="T25" i="12" s="1"/>
  <c r="T26" i="12" s="1"/>
  <c r="I25" i="12"/>
  <c r="T33" i="12"/>
  <c r="T21" i="12"/>
  <c r="I33" i="12"/>
  <c r="I21" i="12"/>
  <c r="I26" i="12" l="1"/>
  <c r="J23" i="19"/>
  <c r="H14" i="5" l="1"/>
  <c r="H36" i="5" s="1"/>
  <c r="S32" i="5"/>
  <c r="R32" i="5"/>
  <c r="Q32" i="5"/>
  <c r="P32" i="5"/>
  <c r="O32" i="5"/>
  <c r="N32" i="5"/>
  <c r="Q23" i="13" l="1"/>
  <c r="P23" i="13"/>
  <c r="N23" i="13"/>
  <c r="S23" i="12"/>
  <c r="F18" i="7" l="1"/>
  <c r="G18" i="7"/>
  <c r="Q32" i="13" l="1"/>
  <c r="Q33" i="13" s="1"/>
  <c r="Q18" i="13"/>
  <c r="Q15" i="13" s="1"/>
  <c r="Q17" i="13"/>
  <c r="Q16" i="13"/>
  <c r="Q13" i="13"/>
  <c r="Q12" i="13"/>
  <c r="Q11" i="13"/>
  <c r="M33" i="13"/>
  <c r="M32" i="13"/>
  <c r="N32" i="13"/>
  <c r="N33" i="13" s="1"/>
  <c r="I32" i="13"/>
  <c r="I33" i="13" s="1"/>
  <c r="E32" i="13"/>
  <c r="F32" i="13"/>
  <c r="F33" i="13" s="1"/>
  <c r="Q10" i="13" l="1"/>
  <c r="Q20" i="13"/>
  <c r="Q25" i="13" s="1"/>
  <c r="Q26" i="13" s="1"/>
  <c r="N11" i="13"/>
  <c r="M17" i="13"/>
  <c r="M12" i="13"/>
  <c r="S66" i="7"/>
  <c r="P66" i="7"/>
  <c r="O66" i="7"/>
  <c r="N10" i="8"/>
  <c r="F29" i="8"/>
  <c r="I29" i="8"/>
  <c r="Q25" i="8"/>
  <c r="P8" i="10"/>
  <c r="P12" i="13"/>
  <c r="P17" i="13"/>
  <c r="N17" i="13"/>
  <c r="N16" i="13"/>
  <c r="N12" i="13"/>
  <c r="I15" i="13"/>
  <c r="F15" i="13"/>
  <c r="N15" i="13" l="1"/>
  <c r="N10" i="13"/>
  <c r="N20" i="13" l="1"/>
  <c r="N25" i="13" s="1"/>
  <c r="N26" i="13" s="1"/>
  <c r="Q21" i="13"/>
  <c r="N21" i="13"/>
  <c r="I10" i="13" l="1"/>
  <c r="I20" i="13" s="1"/>
  <c r="F10" i="13"/>
  <c r="F20" i="13" s="1"/>
  <c r="S20" i="10"/>
  <c r="S19" i="10"/>
  <c r="S17" i="10"/>
  <c r="S15" i="10"/>
  <c r="S14" i="10"/>
  <c r="S12" i="10"/>
  <c r="S10" i="10"/>
  <c r="S8" i="10"/>
  <c r="P20" i="10"/>
  <c r="P19" i="10"/>
  <c r="P17" i="10"/>
  <c r="P15" i="10"/>
  <c r="P14" i="10"/>
  <c r="P12" i="10"/>
  <c r="P10" i="10"/>
  <c r="G37" i="6"/>
  <c r="G14" i="10"/>
  <c r="G19" i="10" s="1"/>
  <c r="G20" i="10" s="1"/>
  <c r="J14" i="10"/>
  <c r="J19" i="10" s="1"/>
  <c r="J20" i="10" s="1"/>
  <c r="J15" i="10" l="1"/>
  <c r="F21" i="13"/>
  <c r="F25" i="13"/>
  <c r="F26" i="13" s="1"/>
  <c r="I25" i="13"/>
  <c r="I26" i="13" s="1"/>
  <c r="I21" i="13"/>
  <c r="G15" i="10"/>
  <c r="P30" i="6"/>
  <c r="S47" i="6"/>
  <c r="S32" i="6"/>
  <c r="S33" i="6"/>
  <c r="S38" i="6"/>
  <c r="S39" i="6"/>
  <c r="S41" i="6"/>
  <c r="S44" i="6"/>
  <c r="S10" i="6"/>
  <c r="S16" i="6"/>
  <c r="S17" i="6"/>
  <c r="S18" i="6"/>
  <c r="S19" i="6"/>
  <c r="S20" i="6"/>
  <c r="S21" i="6"/>
  <c r="S22" i="6"/>
  <c r="S23" i="6"/>
  <c r="S24" i="6"/>
  <c r="S25" i="6"/>
  <c r="S26" i="6"/>
  <c r="S27" i="6"/>
  <c r="S28" i="6"/>
  <c r="S31" i="6"/>
  <c r="S29" i="6"/>
  <c r="S30" i="6"/>
  <c r="S8" i="6"/>
  <c r="S12" i="6" s="1"/>
  <c r="P44" i="6"/>
  <c r="P47" i="6"/>
  <c r="P29" i="6"/>
  <c r="P32" i="6"/>
  <c r="P33" i="6"/>
  <c r="P38" i="6"/>
  <c r="P39" i="6"/>
  <c r="P41" i="6"/>
  <c r="P31" i="6"/>
  <c r="P23" i="6"/>
  <c r="P24" i="6"/>
  <c r="P25" i="6"/>
  <c r="P26" i="6"/>
  <c r="P27" i="6"/>
  <c r="P22" i="6"/>
  <c r="J37" i="6"/>
  <c r="I12" i="6"/>
  <c r="P18" i="6"/>
  <c r="J12" i="6"/>
  <c r="F14" i="10"/>
  <c r="P37" i="6" l="1"/>
  <c r="S37" i="6"/>
  <c r="F19" i="10"/>
  <c r="F20" i="10" s="1"/>
  <c r="F15" i="10"/>
  <c r="I37" i="6"/>
  <c r="I43" i="6" s="1"/>
  <c r="S43" i="6" l="1"/>
  <c r="S46" i="6" s="1"/>
  <c r="S49" i="6" s="1"/>
  <c r="J43" i="6"/>
  <c r="I46" i="6"/>
  <c r="I49" i="6" s="1"/>
  <c r="S53" i="7"/>
  <c r="S54" i="7"/>
  <c r="S55" i="7"/>
  <c r="S56" i="7"/>
  <c r="S57" i="7"/>
  <c r="S58" i="7"/>
  <c r="S59" i="7"/>
  <c r="S60" i="7"/>
  <c r="S61" i="7"/>
  <c r="S52" i="7"/>
  <c r="S63" i="7" s="1"/>
  <c r="O57" i="7"/>
  <c r="P53" i="7"/>
  <c r="P54" i="7"/>
  <c r="P55" i="7"/>
  <c r="P56" i="7"/>
  <c r="P57" i="7"/>
  <c r="P58" i="7"/>
  <c r="P59" i="7"/>
  <c r="P60" i="7"/>
  <c r="P61" i="7"/>
  <c r="P52" i="7"/>
  <c r="S41" i="7"/>
  <c r="S42" i="7"/>
  <c r="S43" i="7"/>
  <c r="S44" i="7"/>
  <c r="S45" i="7"/>
  <c r="S46" i="7"/>
  <c r="S47" i="7"/>
  <c r="S48" i="7"/>
  <c r="S40" i="7"/>
  <c r="S49" i="7" s="1"/>
  <c r="P41" i="7"/>
  <c r="P42" i="7"/>
  <c r="P43" i="7"/>
  <c r="P44" i="7"/>
  <c r="P45" i="7"/>
  <c r="P46" i="7"/>
  <c r="P47" i="7"/>
  <c r="P48" i="7"/>
  <c r="P40" i="7"/>
  <c r="S34" i="7"/>
  <c r="P34" i="7"/>
  <c r="O15" i="7"/>
  <c r="S22" i="7"/>
  <c r="S23" i="7"/>
  <c r="S24" i="7"/>
  <c r="S25" i="7"/>
  <c r="S26" i="7"/>
  <c r="S27" i="7"/>
  <c r="S28" i="7"/>
  <c r="S29" i="7"/>
  <c r="S30" i="7"/>
  <c r="S21" i="7"/>
  <c r="P22" i="7"/>
  <c r="P23" i="7"/>
  <c r="P24" i="7"/>
  <c r="P25" i="7"/>
  <c r="P26" i="7"/>
  <c r="P27" i="7"/>
  <c r="P28" i="7"/>
  <c r="P29" i="7"/>
  <c r="P30" i="7"/>
  <c r="P21" i="7"/>
  <c r="S12" i="7"/>
  <c r="S13" i="7"/>
  <c r="S14" i="7"/>
  <c r="S15" i="7"/>
  <c r="S16" i="7"/>
  <c r="S17" i="7"/>
  <c r="S11" i="7"/>
  <c r="S18" i="7" s="1"/>
  <c r="P12" i="7"/>
  <c r="P13" i="7"/>
  <c r="P14" i="7"/>
  <c r="P15" i="7"/>
  <c r="P16" i="7"/>
  <c r="P17" i="7"/>
  <c r="P11" i="7"/>
  <c r="P18" i="7" s="1"/>
  <c r="S8" i="7"/>
  <c r="S32" i="7" s="1"/>
  <c r="S36" i="7" s="1"/>
  <c r="S65" i="7" s="1"/>
  <c r="P8" i="7"/>
  <c r="P32" i="7" s="1"/>
  <c r="P36" i="7" s="1"/>
  <c r="J63" i="7"/>
  <c r="G63" i="7"/>
  <c r="I63" i="7"/>
  <c r="R61" i="7"/>
  <c r="F63" i="7"/>
  <c r="O61" i="7"/>
  <c r="F32" i="7"/>
  <c r="F36" i="7" s="1"/>
  <c r="J18" i="7"/>
  <c r="J32" i="7" s="1"/>
  <c r="J36" i="7" s="1"/>
  <c r="I18" i="7"/>
  <c r="I32" i="7" s="1"/>
  <c r="G32" i="7"/>
  <c r="G36" i="7" s="1"/>
  <c r="E18" i="7"/>
  <c r="E32" i="7" s="1"/>
  <c r="D18" i="7"/>
  <c r="C18" i="7"/>
  <c r="R47" i="7"/>
  <c r="F49" i="7"/>
  <c r="O47" i="7"/>
  <c r="J49" i="7"/>
  <c r="I49" i="7"/>
  <c r="G49" i="7"/>
  <c r="R44" i="7"/>
  <c r="O44" i="7"/>
  <c r="Q53" i="8"/>
  <c r="Q54" i="8"/>
  <c r="Q55" i="8"/>
  <c r="Q56" i="8"/>
  <c r="Q57" i="8"/>
  <c r="Q58" i="8"/>
  <c r="Q59" i="8"/>
  <c r="Q52" i="8"/>
  <c r="N53" i="8"/>
  <c r="N54" i="8"/>
  <c r="N55" i="8"/>
  <c r="N56" i="8"/>
  <c r="N57" i="8"/>
  <c r="N58" i="8"/>
  <c r="N59" i="8"/>
  <c r="N52" i="8"/>
  <c r="Q44" i="8"/>
  <c r="Q45" i="8"/>
  <c r="Q46" i="8"/>
  <c r="Q47" i="8"/>
  <c r="Q48" i="8"/>
  <c r="Q49" i="8"/>
  <c r="Q43" i="8"/>
  <c r="N44" i="8"/>
  <c r="N45" i="8"/>
  <c r="N46" i="8"/>
  <c r="N47" i="8"/>
  <c r="N48" i="8"/>
  <c r="N49" i="8"/>
  <c r="N43" i="8"/>
  <c r="Q36" i="8"/>
  <c r="Q37" i="8"/>
  <c r="Q38" i="8"/>
  <c r="Q40" i="8"/>
  <c r="Q35" i="8"/>
  <c r="N36" i="8"/>
  <c r="N37" i="8"/>
  <c r="N38" i="8"/>
  <c r="N40" i="8"/>
  <c r="N35" i="8"/>
  <c r="N39" i="8" s="1"/>
  <c r="N41" i="8" s="1"/>
  <c r="Q21" i="8"/>
  <c r="Q22" i="8"/>
  <c r="Q23" i="8"/>
  <c r="Q24" i="8"/>
  <c r="Q26" i="8"/>
  <c r="Q27" i="8"/>
  <c r="Q28" i="8"/>
  <c r="Q20" i="8"/>
  <c r="Q29" i="8" s="1"/>
  <c r="Q10" i="8"/>
  <c r="Q11" i="8"/>
  <c r="Q12" i="8"/>
  <c r="Q13" i="8"/>
  <c r="Q14" i="8"/>
  <c r="Q15" i="8"/>
  <c r="Q16" i="8"/>
  <c r="Q17" i="8"/>
  <c r="Q9" i="8"/>
  <c r="N21" i="8"/>
  <c r="N22" i="8"/>
  <c r="N23" i="8"/>
  <c r="N24" i="8"/>
  <c r="N25" i="8"/>
  <c r="N26" i="8"/>
  <c r="N27" i="8"/>
  <c r="N28" i="8"/>
  <c r="N20" i="8"/>
  <c r="N14" i="8"/>
  <c r="N15" i="8"/>
  <c r="N16" i="8"/>
  <c r="N17" i="8"/>
  <c r="N12" i="8"/>
  <c r="N13" i="8"/>
  <c r="N11" i="8"/>
  <c r="N9" i="8"/>
  <c r="I60" i="8"/>
  <c r="F60" i="8"/>
  <c r="F41" i="8"/>
  <c r="F50" i="8"/>
  <c r="I50" i="8"/>
  <c r="I39" i="8"/>
  <c r="I41" i="8" s="1"/>
  <c r="I18" i="8"/>
  <c r="I31" i="8" s="1"/>
  <c r="F18" i="8"/>
  <c r="F62" i="8" l="1"/>
  <c r="F64" i="8" s="1"/>
  <c r="P63" i="7"/>
  <c r="P65" i="7" s="1"/>
  <c r="P49" i="7"/>
  <c r="Q50" i="8"/>
  <c r="Q60" i="8"/>
  <c r="Q62" i="8" s="1"/>
  <c r="Q64" i="8" s="1"/>
  <c r="Q39" i="8"/>
  <c r="Q41" i="8" s="1"/>
  <c r="Q18" i="8"/>
  <c r="Q31" i="8" s="1"/>
  <c r="N18" i="8"/>
  <c r="N50" i="8"/>
  <c r="N60" i="8"/>
  <c r="N62" i="8" s="1"/>
  <c r="N64" i="8" s="1"/>
  <c r="N29" i="8"/>
  <c r="G65" i="7"/>
  <c r="G69" i="7" s="1"/>
  <c r="P69" i="7" s="1"/>
  <c r="J65" i="7"/>
  <c r="J69" i="7" s="1"/>
  <c r="S69" i="7" s="1"/>
  <c r="J46" i="6"/>
  <c r="I62" i="8"/>
  <c r="I64" i="8" s="1"/>
  <c r="F31" i="8"/>
  <c r="N31" i="8" l="1"/>
  <c r="J49" i="6"/>
  <c r="R8" i="6" l="1"/>
  <c r="P16" i="6"/>
  <c r="P17" i="6"/>
  <c r="P19" i="6"/>
  <c r="P20" i="6"/>
  <c r="P21" i="6"/>
  <c r="P12" i="6"/>
  <c r="P10" i="6"/>
  <c r="P8" i="6"/>
  <c r="O8" i="6"/>
  <c r="P28" i="6"/>
  <c r="O28" i="6"/>
  <c r="G12" i="6"/>
  <c r="F12" i="6"/>
  <c r="F37" i="6"/>
  <c r="F43" i="6" l="1"/>
  <c r="F46" i="6" s="1"/>
  <c r="F49" i="6" s="1"/>
  <c r="G43" i="6"/>
  <c r="P43" i="6" l="1"/>
  <c r="G46" i="6"/>
  <c r="G49" i="6" s="1"/>
  <c r="P46" i="6" l="1"/>
  <c r="P49" i="6" s="1"/>
  <c r="V32" i="12"/>
  <c r="V33" i="12" s="1"/>
  <c r="O32" i="12"/>
  <c r="P32" i="12"/>
  <c r="Q32" i="12"/>
  <c r="R32" i="12"/>
  <c r="S32" i="12"/>
  <c r="S33" i="12" s="1"/>
  <c r="N32" i="12"/>
  <c r="O16" i="12"/>
  <c r="P16" i="12"/>
  <c r="Q16" i="12"/>
  <c r="R16" i="12"/>
  <c r="S16" i="12"/>
  <c r="O17" i="12"/>
  <c r="P17" i="12"/>
  <c r="Q17" i="12"/>
  <c r="R17" i="12"/>
  <c r="S17" i="12"/>
  <c r="O18" i="12"/>
  <c r="P18" i="12"/>
  <c r="Q18" i="12"/>
  <c r="R18" i="12"/>
  <c r="S18" i="12"/>
  <c r="N18" i="12"/>
  <c r="S11" i="12"/>
  <c r="S12" i="12"/>
  <c r="S13" i="12"/>
  <c r="S10" i="12" s="1"/>
  <c r="O11" i="12"/>
  <c r="P11" i="12"/>
  <c r="Q11" i="12"/>
  <c r="R11" i="12"/>
  <c r="O12" i="12"/>
  <c r="P12" i="12"/>
  <c r="Q12" i="12"/>
  <c r="R12" i="12"/>
  <c r="O13" i="12"/>
  <c r="P13" i="12"/>
  <c r="Q13" i="12"/>
  <c r="R13" i="12"/>
  <c r="N13" i="12"/>
  <c r="K33" i="12"/>
  <c r="D32" i="12"/>
  <c r="E32" i="12"/>
  <c r="F32" i="12"/>
  <c r="G32" i="12"/>
  <c r="H32" i="12"/>
  <c r="H33" i="12" s="1"/>
  <c r="C32" i="12"/>
  <c r="K15" i="12"/>
  <c r="H15" i="12"/>
  <c r="D15" i="12"/>
  <c r="E15" i="12"/>
  <c r="F15" i="12"/>
  <c r="G15" i="12"/>
  <c r="C15" i="12"/>
  <c r="K10" i="12"/>
  <c r="D10" i="12"/>
  <c r="E10" i="12"/>
  <c r="F10" i="12"/>
  <c r="G10" i="12"/>
  <c r="H10" i="12"/>
  <c r="C10" i="12"/>
  <c r="V5" i="12"/>
  <c r="V12" i="12" s="1"/>
  <c r="S17" i="9"/>
  <c r="S12" i="9"/>
  <c r="S10" i="9"/>
  <c r="S8" i="9"/>
  <c r="K14" i="9"/>
  <c r="H14" i="9"/>
  <c r="H15" i="9" s="1"/>
  <c r="V5" i="9"/>
  <c r="V8" i="9" s="1"/>
  <c r="I23" i="19"/>
  <c r="D23" i="19"/>
  <c r="E23" i="19"/>
  <c r="F23" i="19"/>
  <c r="G23" i="19"/>
  <c r="H23" i="19"/>
  <c r="K15" i="9" l="1"/>
  <c r="K19" i="9"/>
  <c r="K20" i="12"/>
  <c r="O10" i="12"/>
  <c r="R15" i="12"/>
  <c r="P15" i="12"/>
  <c r="H20" i="12"/>
  <c r="V13" i="12"/>
  <c r="S15" i="12"/>
  <c r="S20" i="12" s="1"/>
  <c r="O15" i="12"/>
  <c r="O20" i="12" s="1"/>
  <c r="Q10" i="12"/>
  <c r="V18" i="12"/>
  <c r="V23" i="12"/>
  <c r="P10" i="12"/>
  <c r="P20" i="12" s="1"/>
  <c r="Q15" i="12"/>
  <c r="Q20" i="12" s="1"/>
  <c r="V16" i="12"/>
  <c r="S14" i="9"/>
  <c r="S19" i="9" s="1"/>
  <c r="S20" i="9" s="1"/>
  <c r="K20" i="9"/>
  <c r="H21" i="12"/>
  <c r="H25" i="12"/>
  <c r="H26" i="12" s="1"/>
  <c r="K25" i="12"/>
  <c r="K26" i="12" s="1"/>
  <c r="K21" i="12"/>
  <c r="V10" i="9"/>
  <c r="V12" i="9"/>
  <c r="V17" i="9"/>
  <c r="V17" i="12"/>
  <c r="V15" i="12" s="1"/>
  <c r="R10" i="12"/>
  <c r="R20" i="12" s="1"/>
  <c r="H19" i="9"/>
  <c r="H20" i="9" s="1"/>
  <c r="V11" i="12"/>
  <c r="V10" i="12" l="1"/>
  <c r="S15" i="9"/>
  <c r="V14" i="9"/>
  <c r="S25" i="12"/>
  <c r="S26" i="12" s="1"/>
  <c r="S21" i="12"/>
  <c r="V20" i="12"/>
  <c r="H9" i="23"/>
  <c r="I9" i="23"/>
  <c r="E9" i="23"/>
  <c r="F9" i="23"/>
  <c r="G9" i="23"/>
  <c r="D9" i="23"/>
  <c r="S72" i="4"/>
  <c r="S65" i="4"/>
  <c r="S64" i="4"/>
  <c r="S63" i="4"/>
  <c r="S62" i="4"/>
  <c r="S61" i="4"/>
  <c r="S60" i="4"/>
  <c r="S59" i="4"/>
  <c r="S58" i="4"/>
  <c r="S57" i="4"/>
  <c r="S56" i="4"/>
  <c r="O65" i="4"/>
  <c r="P65" i="4"/>
  <c r="Q65" i="4"/>
  <c r="R65" i="4"/>
  <c r="O64" i="4"/>
  <c r="P64" i="4"/>
  <c r="Q64" i="4"/>
  <c r="R64" i="4"/>
  <c r="N64" i="4"/>
  <c r="S51" i="4"/>
  <c r="S50" i="4"/>
  <c r="S49" i="4"/>
  <c r="S48" i="4"/>
  <c r="S47" i="4"/>
  <c r="S46" i="4"/>
  <c r="S45" i="4"/>
  <c r="S44" i="4"/>
  <c r="S43" i="4"/>
  <c r="O48" i="4"/>
  <c r="P48" i="4"/>
  <c r="Q48" i="4"/>
  <c r="R48" i="4"/>
  <c r="O49" i="4"/>
  <c r="P49" i="4"/>
  <c r="Q49" i="4"/>
  <c r="R49" i="4"/>
  <c r="S37" i="4"/>
  <c r="S33" i="4"/>
  <c r="S32" i="4"/>
  <c r="S31" i="4"/>
  <c r="S30" i="4"/>
  <c r="S29" i="4"/>
  <c r="S28" i="4"/>
  <c r="S27" i="4"/>
  <c r="S26" i="4"/>
  <c r="S25" i="4"/>
  <c r="S24" i="4"/>
  <c r="S19" i="4"/>
  <c r="S18" i="4"/>
  <c r="S17" i="4"/>
  <c r="S16" i="4"/>
  <c r="S15" i="4"/>
  <c r="S14" i="4"/>
  <c r="S13" i="4"/>
  <c r="S12" i="4"/>
  <c r="S11" i="4"/>
  <c r="S8" i="4"/>
  <c r="O15" i="4"/>
  <c r="P15" i="4"/>
  <c r="Q15" i="4"/>
  <c r="R15" i="4"/>
  <c r="K67" i="4"/>
  <c r="H67" i="4"/>
  <c r="N49" i="4"/>
  <c r="N48" i="4"/>
  <c r="K53" i="4"/>
  <c r="H53" i="4"/>
  <c r="K35" i="4"/>
  <c r="K39" i="4" s="1"/>
  <c r="K69" i="4" s="1"/>
  <c r="K73" i="4" s="1"/>
  <c r="H35" i="4"/>
  <c r="H39" i="4" s="1"/>
  <c r="H69" i="4" s="1"/>
  <c r="C122" i="3"/>
  <c r="N15" i="4"/>
  <c r="V5" i="4"/>
  <c r="V63" i="4" s="1"/>
  <c r="S58" i="2"/>
  <c r="S57" i="2"/>
  <c r="S56" i="2"/>
  <c r="S55" i="2"/>
  <c r="S54" i="2"/>
  <c r="S53" i="2"/>
  <c r="S52" i="2"/>
  <c r="S48" i="2"/>
  <c r="S47" i="2"/>
  <c r="S46" i="2"/>
  <c r="S45" i="2"/>
  <c r="S44" i="2"/>
  <c r="S41" i="2"/>
  <c r="S39" i="2"/>
  <c r="S38" i="2"/>
  <c r="S37" i="2"/>
  <c r="S36" i="2"/>
  <c r="S29" i="2"/>
  <c r="S28" i="2"/>
  <c r="S27" i="2"/>
  <c r="S26" i="2"/>
  <c r="S25" i="2"/>
  <c r="S24" i="2"/>
  <c r="S23" i="2"/>
  <c r="S22" i="2"/>
  <c r="S21" i="2"/>
  <c r="S9" i="2"/>
  <c r="S10" i="2"/>
  <c r="S11" i="2"/>
  <c r="S12" i="2"/>
  <c r="S13" i="2"/>
  <c r="S14" i="2"/>
  <c r="S15" i="2"/>
  <c r="S16" i="2"/>
  <c r="S17" i="2"/>
  <c r="S18" i="2"/>
  <c r="R14" i="2"/>
  <c r="Q14" i="2"/>
  <c r="P14" i="2"/>
  <c r="O14" i="2"/>
  <c r="N14" i="2"/>
  <c r="O10" i="2"/>
  <c r="P10" i="2"/>
  <c r="Q10" i="2"/>
  <c r="R10" i="2"/>
  <c r="N10" i="2"/>
  <c r="K59" i="2"/>
  <c r="H59" i="2"/>
  <c r="K40" i="2"/>
  <c r="K42" i="2" s="1"/>
  <c r="H40" i="2"/>
  <c r="H42" i="2" s="1"/>
  <c r="K30" i="2"/>
  <c r="H30" i="2"/>
  <c r="K19" i="2"/>
  <c r="H19" i="2"/>
  <c r="V5" i="2"/>
  <c r="V57" i="2" s="1"/>
  <c r="V5" i="5"/>
  <c r="V32" i="5" s="1"/>
  <c r="V11" i="4" l="1"/>
  <c r="V43" i="4"/>
  <c r="V64" i="4"/>
  <c r="V19" i="4"/>
  <c r="V24" i="4"/>
  <c r="H73" i="4"/>
  <c r="S73" i="4" s="1"/>
  <c r="V13" i="4"/>
  <c r="V28" i="4"/>
  <c r="V47" i="4"/>
  <c r="V15" i="4"/>
  <c r="V32" i="4"/>
  <c r="V51" i="4"/>
  <c r="V56" i="4"/>
  <c r="V17" i="4"/>
  <c r="V60" i="4"/>
  <c r="K61" i="2"/>
  <c r="K32" i="2"/>
  <c r="S30" i="2"/>
  <c r="K63" i="2"/>
  <c r="V16" i="2"/>
  <c r="V28" i="2"/>
  <c r="V46" i="2"/>
  <c r="V54" i="2"/>
  <c r="V25" i="12"/>
  <c r="V26" i="12" s="1"/>
  <c r="V21" i="12"/>
  <c r="S19" i="2"/>
  <c r="S32" i="2" s="1"/>
  <c r="V9" i="2"/>
  <c r="V13" i="2"/>
  <c r="V17" i="2"/>
  <c r="V21" i="2"/>
  <c r="V25" i="2"/>
  <c r="V29" i="2"/>
  <c r="S40" i="2"/>
  <c r="S42" i="2" s="1"/>
  <c r="V38" i="2"/>
  <c r="V47" i="2"/>
  <c r="V55" i="2"/>
  <c r="V12" i="4"/>
  <c r="V16" i="4"/>
  <c r="V25" i="4"/>
  <c r="V29" i="4"/>
  <c r="V33" i="4"/>
  <c r="V44" i="4"/>
  <c r="V48" i="4"/>
  <c r="V57" i="4"/>
  <c r="V61" i="4"/>
  <c r="V65" i="4"/>
  <c r="V37" i="2"/>
  <c r="V58" i="2"/>
  <c r="V10" i="2"/>
  <c r="V39" i="2"/>
  <c r="V44" i="2"/>
  <c r="V48" i="2"/>
  <c r="V52" i="2"/>
  <c r="V56" i="2"/>
  <c r="S35" i="4"/>
  <c r="S39" i="4" s="1"/>
  <c r="V26" i="4"/>
  <c r="V30" i="4"/>
  <c r="V37" i="4"/>
  <c r="V45" i="4"/>
  <c r="V49" i="4"/>
  <c r="S67" i="4"/>
  <c r="V58" i="4"/>
  <c r="V62" i="4"/>
  <c r="V72" i="4"/>
  <c r="V12" i="2"/>
  <c r="V24" i="2"/>
  <c r="V14" i="2"/>
  <c r="V18" i="2"/>
  <c r="V22" i="2"/>
  <c r="V26" i="2"/>
  <c r="H32" i="2"/>
  <c r="V11" i="2"/>
  <c r="V15" i="2"/>
  <c r="V23" i="2"/>
  <c r="V27" i="2"/>
  <c r="V36" i="2"/>
  <c r="V41" i="2"/>
  <c r="V45" i="2"/>
  <c r="S59" i="2"/>
  <c r="V53" i="2"/>
  <c r="V8" i="4"/>
  <c r="V14" i="4"/>
  <c r="V18" i="4"/>
  <c r="V27" i="4"/>
  <c r="V31" i="4"/>
  <c r="S53" i="4"/>
  <c r="V46" i="4"/>
  <c r="V50" i="4"/>
  <c r="V59" i="4"/>
  <c r="V19" i="9"/>
  <c r="V20" i="9" s="1"/>
  <c r="V15" i="9"/>
  <c r="H61" i="2"/>
  <c r="H63" i="2" s="1"/>
  <c r="V48" i="5"/>
  <c r="S48" i="5"/>
  <c r="V45" i="5"/>
  <c r="S45" i="5"/>
  <c r="V42" i="5"/>
  <c r="S42" i="5"/>
  <c r="V40" i="5"/>
  <c r="V39" i="5"/>
  <c r="S39" i="5"/>
  <c r="S40" i="5"/>
  <c r="V34" i="5"/>
  <c r="V33" i="5"/>
  <c r="S33" i="5"/>
  <c r="S34" i="5"/>
  <c r="V30" i="5"/>
  <c r="V29" i="5"/>
  <c r="V28" i="5"/>
  <c r="V27" i="5"/>
  <c r="V26" i="5"/>
  <c r="V25" i="5"/>
  <c r="V24" i="5"/>
  <c r="V23" i="5"/>
  <c r="V22" i="5"/>
  <c r="V21" i="5"/>
  <c r="V20" i="5"/>
  <c r="V19" i="5"/>
  <c r="V18" i="5"/>
  <c r="V17" i="5"/>
  <c r="V16" i="5"/>
  <c r="S16" i="5"/>
  <c r="S17" i="5"/>
  <c r="S18" i="5"/>
  <c r="S19" i="5"/>
  <c r="S20" i="5"/>
  <c r="S21" i="5"/>
  <c r="S22" i="5"/>
  <c r="S23" i="5"/>
  <c r="S24" i="5"/>
  <c r="S25" i="5"/>
  <c r="S26" i="5"/>
  <c r="S27" i="5"/>
  <c r="S28" i="5"/>
  <c r="S29" i="5"/>
  <c r="S30" i="5"/>
  <c r="O22" i="5"/>
  <c r="P22" i="5"/>
  <c r="Q22" i="5"/>
  <c r="R22" i="5"/>
  <c r="V10" i="5"/>
  <c r="S10" i="5"/>
  <c r="V8" i="5"/>
  <c r="S8" i="5"/>
  <c r="K38" i="5"/>
  <c r="H38" i="5"/>
  <c r="K14" i="5"/>
  <c r="K12" i="5"/>
  <c r="H12" i="5"/>
  <c r="N22" i="5"/>
  <c r="W70" i="4" l="1"/>
  <c r="T70" i="4"/>
  <c r="V53" i="4"/>
  <c r="V35" i="4"/>
  <c r="V39" i="4" s="1"/>
  <c r="V40" i="2"/>
  <c r="V42" i="2" s="1"/>
  <c r="S61" i="2"/>
  <c r="S63" i="2" s="1"/>
  <c r="K44" i="5"/>
  <c r="K47" i="5" s="1"/>
  <c r="K50" i="5" s="1"/>
  <c r="S12" i="5"/>
  <c r="S38" i="5"/>
  <c r="S14" i="5"/>
  <c r="V30" i="2"/>
  <c r="V59" i="2"/>
  <c r="V12" i="5"/>
  <c r="V67" i="4"/>
  <c r="V38" i="5"/>
  <c r="V19" i="2"/>
  <c r="H44" i="5"/>
  <c r="H47" i="5" s="1"/>
  <c r="H50" i="5" s="1"/>
  <c r="V14" i="5"/>
  <c r="R55" i="7"/>
  <c r="R52" i="7"/>
  <c r="V69" i="4" l="1"/>
  <c r="S44" i="5"/>
  <c r="S47" i="5" s="1"/>
  <c r="S50" i="5" s="1"/>
  <c r="V44" i="5"/>
  <c r="V47" i="5" s="1"/>
  <c r="V50" i="5" s="1"/>
  <c r="V61" i="2"/>
  <c r="V63" i="2" s="1"/>
  <c r="V32" i="2"/>
  <c r="P26" i="8" l="1"/>
  <c r="C567" i="3"/>
  <c r="M28" i="7" l="1"/>
  <c r="L28" i="7"/>
  <c r="P18" i="13"/>
  <c r="P16" i="13"/>
  <c r="P15" i="13" s="1"/>
  <c r="H10" i="13"/>
  <c r="P13" i="13"/>
  <c r="P11" i="13"/>
  <c r="M16" i="13"/>
  <c r="M11" i="13"/>
  <c r="H15" i="13"/>
  <c r="E33" i="13"/>
  <c r="E15" i="13"/>
  <c r="E10" i="13"/>
  <c r="R17" i="10"/>
  <c r="R12" i="10"/>
  <c r="R10" i="10"/>
  <c r="R14" i="10" s="1"/>
  <c r="R8" i="10"/>
  <c r="O8" i="10"/>
  <c r="O10" i="10"/>
  <c r="O12" i="10"/>
  <c r="O17" i="10"/>
  <c r="I14" i="10"/>
  <c r="I19" i="10" s="1"/>
  <c r="I20" i="10" s="1"/>
  <c r="R66" i="7"/>
  <c r="R57" i="7"/>
  <c r="L57" i="7"/>
  <c r="M57" i="7"/>
  <c r="N57" i="7"/>
  <c r="R14" i="7"/>
  <c r="L14" i="7"/>
  <c r="M14" i="7"/>
  <c r="N14" i="7"/>
  <c r="O14" i="7"/>
  <c r="R60" i="7"/>
  <c r="R59" i="7"/>
  <c r="R58" i="7"/>
  <c r="R56" i="7"/>
  <c r="R54" i="7"/>
  <c r="R53" i="7"/>
  <c r="R46" i="7"/>
  <c r="R45" i="7"/>
  <c r="R43" i="7"/>
  <c r="R42" i="7"/>
  <c r="R41" i="7"/>
  <c r="R40" i="7"/>
  <c r="R49" i="7" s="1"/>
  <c r="R34" i="7"/>
  <c r="R30" i="7"/>
  <c r="R29" i="7"/>
  <c r="R28" i="7"/>
  <c r="R27" i="7"/>
  <c r="R26" i="7"/>
  <c r="R25" i="7"/>
  <c r="R24" i="7"/>
  <c r="R23" i="7"/>
  <c r="R22" i="7"/>
  <c r="R21" i="7"/>
  <c r="R17" i="7"/>
  <c r="R16" i="7"/>
  <c r="R15" i="7"/>
  <c r="R13" i="7"/>
  <c r="R12" i="7"/>
  <c r="R11" i="7"/>
  <c r="R8" i="7"/>
  <c r="O8" i="7"/>
  <c r="O11" i="7"/>
  <c r="O12" i="7"/>
  <c r="O13" i="7"/>
  <c r="O16" i="7"/>
  <c r="O17" i="7"/>
  <c r="O21" i="7"/>
  <c r="O22" i="7"/>
  <c r="O23" i="7"/>
  <c r="O24" i="7"/>
  <c r="O25" i="7"/>
  <c r="O26" i="7"/>
  <c r="O27" i="7"/>
  <c r="O28" i="7"/>
  <c r="O29" i="7"/>
  <c r="O30" i="7"/>
  <c r="O34" i="7"/>
  <c r="O40" i="7"/>
  <c r="O41" i="7"/>
  <c r="O42" i="7"/>
  <c r="O43" i="7"/>
  <c r="O45" i="7"/>
  <c r="O46" i="7"/>
  <c r="O52" i="7"/>
  <c r="O53" i="7"/>
  <c r="O54" i="7"/>
  <c r="O55" i="7"/>
  <c r="O56" i="7"/>
  <c r="O58" i="7"/>
  <c r="O59" i="7"/>
  <c r="O60" i="7"/>
  <c r="I36" i="7"/>
  <c r="I65" i="7" s="1"/>
  <c r="F65" i="7"/>
  <c r="D49" i="7"/>
  <c r="E49" i="7"/>
  <c r="C49" i="7"/>
  <c r="N28" i="7"/>
  <c r="L43" i="7"/>
  <c r="M43" i="7"/>
  <c r="N43" i="7"/>
  <c r="P59" i="8"/>
  <c r="P58" i="8"/>
  <c r="P57" i="8"/>
  <c r="P56" i="8"/>
  <c r="P55" i="8"/>
  <c r="P54" i="8"/>
  <c r="P53" i="8"/>
  <c r="P52" i="8"/>
  <c r="P60" i="8" s="1"/>
  <c r="P62" i="8" s="1"/>
  <c r="P49" i="8"/>
  <c r="P48" i="8"/>
  <c r="P47" i="8"/>
  <c r="P45" i="8"/>
  <c r="P50" i="8" s="1"/>
  <c r="P44" i="8"/>
  <c r="P43" i="8"/>
  <c r="P40" i="8"/>
  <c r="P38" i="8"/>
  <c r="P37" i="8"/>
  <c r="P36" i="8"/>
  <c r="P35" i="8"/>
  <c r="P28" i="8"/>
  <c r="P27" i="8"/>
  <c r="P25" i="8"/>
  <c r="P24" i="8"/>
  <c r="P23" i="8"/>
  <c r="P22" i="8"/>
  <c r="P21" i="8"/>
  <c r="P20" i="8"/>
  <c r="P17" i="8"/>
  <c r="P16" i="8"/>
  <c r="P15" i="8"/>
  <c r="P14" i="8"/>
  <c r="P13" i="8"/>
  <c r="P12" i="8"/>
  <c r="P11" i="8"/>
  <c r="P10" i="8"/>
  <c r="P9" i="8"/>
  <c r="P18" i="8" s="1"/>
  <c r="K55" i="8"/>
  <c r="L55" i="8"/>
  <c r="K10" i="8"/>
  <c r="L10" i="8"/>
  <c r="M10" i="8"/>
  <c r="K11" i="8"/>
  <c r="L11" i="8"/>
  <c r="M11" i="8"/>
  <c r="K45" i="8"/>
  <c r="L45" i="8"/>
  <c r="M45" i="8"/>
  <c r="M55" i="8"/>
  <c r="M9" i="8"/>
  <c r="M12" i="8"/>
  <c r="M13" i="8"/>
  <c r="M14" i="8"/>
  <c r="M15" i="8"/>
  <c r="M16" i="8"/>
  <c r="M17" i="8"/>
  <c r="M20" i="8"/>
  <c r="M21" i="8"/>
  <c r="M22" i="8"/>
  <c r="M23" i="8"/>
  <c r="M24" i="8"/>
  <c r="M25" i="8"/>
  <c r="M26" i="8"/>
  <c r="M27" i="8"/>
  <c r="M28" i="8"/>
  <c r="M35" i="8"/>
  <c r="M36" i="8"/>
  <c r="M37" i="8"/>
  <c r="M38" i="8"/>
  <c r="M40" i="8"/>
  <c r="M43" i="8"/>
  <c r="M44" i="8"/>
  <c r="M47" i="8"/>
  <c r="M48" i="8"/>
  <c r="M49" i="8"/>
  <c r="M52" i="8"/>
  <c r="M53" i="8"/>
  <c r="M54" i="8"/>
  <c r="M56" i="8"/>
  <c r="M57" i="8"/>
  <c r="M58" i="8"/>
  <c r="M59" i="8"/>
  <c r="H60" i="8"/>
  <c r="H50" i="8"/>
  <c r="H39" i="8"/>
  <c r="H41" i="8" s="1"/>
  <c r="H29" i="8"/>
  <c r="H18" i="8"/>
  <c r="E60" i="8"/>
  <c r="E50" i="8"/>
  <c r="E39" i="8"/>
  <c r="E41" i="8" s="1"/>
  <c r="E29" i="8"/>
  <c r="E18" i="8"/>
  <c r="R28" i="6"/>
  <c r="L30" i="6"/>
  <c r="M30" i="6"/>
  <c r="N30" i="6"/>
  <c r="O30" i="6"/>
  <c r="R30" i="6"/>
  <c r="L28" i="6"/>
  <c r="M28" i="6"/>
  <c r="N28" i="6"/>
  <c r="R22" i="6"/>
  <c r="L22" i="6"/>
  <c r="M22" i="6"/>
  <c r="N22" i="6"/>
  <c r="O22" i="6"/>
  <c r="R47" i="6"/>
  <c r="R44" i="6"/>
  <c r="R41" i="6"/>
  <c r="R39" i="6"/>
  <c r="R38" i="6"/>
  <c r="R33" i="6"/>
  <c r="R32" i="6"/>
  <c r="R29" i="6"/>
  <c r="R31" i="6"/>
  <c r="R27" i="6"/>
  <c r="R26" i="6"/>
  <c r="R25" i="6"/>
  <c r="R24" i="6"/>
  <c r="R23" i="6"/>
  <c r="R21" i="6"/>
  <c r="R20" i="6"/>
  <c r="R19" i="6"/>
  <c r="R18" i="6"/>
  <c r="R17" i="6"/>
  <c r="R16" i="6"/>
  <c r="R10" i="6"/>
  <c r="R12" i="6" s="1"/>
  <c r="O10" i="6"/>
  <c r="O16" i="6"/>
  <c r="O17" i="6"/>
  <c r="O18" i="6"/>
  <c r="O19" i="6"/>
  <c r="O20" i="6"/>
  <c r="O21" i="6"/>
  <c r="O23" i="6"/>
  <c r="O24" i="6"/>
  <c r="O25" i="6"/>
  <c r="O26" i="6"/>
  <c r="O27" i="6"/>
  <c r="O31" i="6"/>
  <c r="O29" i="6"/>
  <c r="O32" i="6"/>
  <c r="O33" i="6"/>
  <c r="O38" i="6"/>
  <c r="O39" i="6"/>
  <c r="O41" i="6"/>
  <c r="O44" i="6"/>
  <c r="O47" i="6"/>
  <c r="P10" i="13" l="1"/>
  <c r="P20" i="13" s="1"/>
  <c r="O63" i="7"/>
  <c r="R63" i="7"/>
  <c r="O49" i="7"/>
  <c r="O14" i="10"/>
  <c r="O15" i="10" s="1"/>
  <c r="O18" i="7"/>
  <c r="M39" i="8"/>
  <c r="M41" i="8" s="1"/>
  <c r="P29" i="8"/>
  <c r="P31" i="8" s="1"/>
  <c r="P39" i="8"/>
  <c r="P41" i="8" s="1"/>
  <c r="P64" i="8" s="1"/>
  <c r="M10" i="13"/>
  <c r="R37" i="6"/>
  <c r="O12" i="6"/>
  <c r="F69" i="7"/>
  <c r="O69" i="7" s="1"/>
  <c r="E62" i="8"/>
  <c r="E64" i="8" s="1"/>
  <c r="E20" i="13"/>
  <c r="H62" i="8"/>
  <c r="H64" i="8" s="1"/>
  <c r="H31" i="8"/>
  <c r="I69" i="7"/>
  <c r="R69" i="7" s="1"/>
  <c r="H20" i="13"/>
  <c r="M15" i="13"/>
  <c r="M20" i="13" s="1"/>
  <c r="R19" i="10"/>
  <c r="R20" i="10" s="1"/>
  <c r="R15" i="10"/>
  <c r="I15" i="10"/>
  <c r="O37" i="6"/>
  <c r="R18" i="7"/>
  <c r="R32" i="7" s="1"/>
  <c r="R36" i="7" s="1"/>
  <c r="M50" i="8"/>
  <c r="M29" i="8"/>
  <c r="M18" i="8"/>
  <c r="M60" i="8"/>
  <c r="E31" i="8"/>
  <c r="R8" i="9"/>
  <c r="C14" i="9"/>
  <c r="P25" i="13" l="1"/>
  <c r="P26" i="13" s="1"/>
  <c r="P21" i="13"/>
  <c r="M25" i="13"/>
  <c r="M26" i="13" s="1"/>
  <c r="M21" i="13"/>
  <c r="O32" i="7"/>
  <c r="O36" i="7" s="1"/>
  <c r="O65" i="7" s="1"/>
  <c r="H25" i="13"/>
  <c r="H26" i="13" s="1"/>
  <c r="H21" i="13"/>
  <c r="E25" i="13"/>
  <c r="E26" i="13" s="1"/>
  <c r="E21" i="13"/>
  <c r="O19" i="10"/>
  <c r="O20" i="10" s="1"/>
  <c r="R65" i="7"/>
  <c r="R43" i="6"/>
  <c r="R46" i="6" s="1"/>
  <c r="R49" i="6" s="1"/>
  <c r="O43" i="6"/>
  <c r="O46" i="6" s="1"/>
  <c r="O49" i="6" s="1"/>
  <c r="M31" i="8"/>
  <c r="M62" i="8"/>
  <c r="M64" i="8" s="1"/>
  <c r="R23" i="12"/>
  <c r="R33" i="12"/>
  <c r="G33" i="12"/>
  <c r="R10" i="9"/>
  <c r="R12" i="9"/>
  <c r="R17" i="9"/>
  <c r="Q10" i="9"/>
  <c r="Q12" i="9"/>
  <c r="Q17" i="9"/>
  <c r="G14" i="9"/>
  <c r="G19" i="9" s="1"/>
  <c r="G20" i="9" s="1"/>
  <c r="R72" i="4"/>
  <c r="R61" i="4"/>
  <c r="Q61" i="4"/>
  <c r="P61" i="4"/>
  <c r="O61" i="4"/>
  <c r="N61" i="4"/>
  <c r="R57" i="4"/>
  <c r="Q57" i="4"/>
  <c r="P57" i="4"/>
  <c r="O57" i="4"/>
  <c r="N57" i="4"/>
  <c r="R56" i="4"/>
  <c r="R58" i="4"/>
  <c r="R59" i="4"/>
  <c r="R60" i="4"/>
  <c r="R62" i="4"/>
  <c r="R63" i="4"/>
  <c r="R43" i="4"/>
  <c r="R44" i="4"/>
  <c r="R45" i="4"/>
  <c r="R46" i="4"/>
  <c r="R47" i="4"/>
  <c r="R50" i="4"/>
  <c r="R51" i="4"/>
  <c r="Q30" i="4"/>
  <c r="R31" i="4"/>
  <c r="Q31" i="4"/>
  <c r="P31" i="4"/>
  <c r="O31" i="4"/>
  <c r="N31" i="4"/>
  <c r="R24" i="4"/>
  <c r="R25" i="4"/>
  <c r="R26" i="4"/>
  <c r="R27" i="4"/>
  <c r="R28" i="4"/>
  <c r="R29" i="4"/>
  <c r="R30" i="4"/>
  <c r="R32" i="4"/>
  <c r="R33" i="4"/>
  <c r="R37" i="4"/>
  <c r="R11" i="4"/>
  <c r="R12" i="4"/>
  <c r="R13" i="4"/>
  <c r="R14" i="4"/>
  <c r="R16" i="4"/>
  <c r="R17" i="4"/>
  <c r="R18" i="4"/>
  <c r="R19" i="4"/>
  <c r="R8" i="4"/>
  <c r="Q8" i="4"/>
  <c r="C67" i="4"/>
  <c r="D67" i="4"/>
  <c r="E67" i="4"/>
  <c r="F67" i="4"/>
  <c r="G67" i="4"/>
  <c r="N65" i="4"/>
  <c r="G53" i="4"/>
  <c r="F53" i="4"/>
  <c r="F35" i="4"/>
  <c r="G35" i="4"/>
  <c r="D40" i="2"/>
  <c r="E40" i="2"/>
  <c r="F40" i="2"/>
  <c r="G40" i="2"/>
  <c r="G42" i="2" s="1"/>
  <c r="C40" i="2"/>
  <c r="R37" i="2"/>
  <c r="Q37" i="2"/>
  <c r="P37" i="2"/>
  <c r="O37" i="2"/>
  <c r="N37" i="2"/>
  <c r="R52" i="2"/>
  <c r="R53" i="2"/>
  <c r="R54" i="2"/>
  <c r="R55" i="2"/>
  <c r="R56" i="2"/>
  <c r="R57" i="2"/>
  <c r="R58" i="2"/>
  <c r="R44" i="2"/>
  <c r="R45" i="2"/>
  <c r="R46" i="2"/>
  <c r="R47" i="2"/>
  <c r="R48" i="2"/>
  <c r="R36" i="2"/>
  <c r="R38" i="2"/>
  <c r="R39" i="2"/>
  <c r="R41" i="2"/>
  <c r="R21" i="2"/>
  <c r="R22" i="2"/>
  <c r="R23" i="2"/>
  <c r="R24" i="2"/>
  <c r="R25" i="2"/>
  <c r="R26" i="2"/>
  <c r="R27" i="2"/>
  <c r="R28" i="2"/>
  <c r="R29" i="2"/>
  <c r="R9" i="2"/>
  <c r="R11" i="2"/>
  <c r="R12" i="2"/>
  <c r="R13" i="2"/>
  <c r="R15" i="2"/>
  <c r="R16" i="2"/>
  <c r="R17" i="2"/>
  <c r="R18" i="2"/>
  <c r="G59" i="2"/>
  <c r="G19" i="2"/>
  <c r="G30" i="2"/>
  <c r="R48" i="5"/>
  <c r="R45" i="5"/>
  <c r="R42" i="5"/>
  <c r="R39" i="5"/>
  <c r="R40" i="5"/>
  <c r="R33" i="5"/>
  <c r="R34" i="5"/>
  <c r="R16" i="5"/>
  <c r="R17" i="5"/>
  <c r="R18" i="5"/>
  <c r="R19" i="5"/>
  <c r="R20" i="5"/>
  <c r="R21" i="5"/>
  <c r="R23" i="5"/>
  <c r="R24" i="5"/>
  <c r="R25" i="5"/>
  <c r="R26" i="5"/>
  <c r="R27" i="5"/>
  <c r="R28" i="5"/>
  <c r="R29" i="5"/>
  <c r="R30" i="5"/>
  <c r="N27" i="5"/>
  <c r="O27" i="5"/>
  <c r="P27" i="5"/>
  <c r="N21" i="5"/>
  <c r="O21" i="5"/>
  <c r="Q27" i="5"/>
  <c r="R10" i="5"/>
  <c r="R8" i="5"/>
  <c r="Q8" i="5"/>
  <c r="G38" i="5"/>
  <c r="G14" i="5"/>
  <c r="G36" i="5" s="1"/>
  <c r="F14" i="5"/>
  <c r="F36" i="5" s="1"/>
  <c r="E14" i="5"/>
  <c r="E36" i="5" s="1"/>
  <c r="D14" i="5"/>
  <c r="D36" i="5" s="1"/>
  <c r="C14" i="5"/>
  <c r="C36" i="5" s="1"/>
  <c r="G12" i="5"/>
  <c r="R14" i="9" l="1"/>
  <c r="R15" i="9" s="1"/>
  <c r="R67" i="4"/>
  <c r="R53" i="4"/>
  <c r="R40" i="2"/>
  <c r="R42" i="2" s="1"/>
  <c r="R12" i="5"/>
  <c r="R14" i="5"/>
  <c r="R38" i="5"/>
  <c r="R59" i="2"/>
  <c r="R61" i="2" s="1"/>
  <c r="R63" i="2" s="1"/>
  <c r="R35" i="4"/>
  <c r="R39" i="4" s="1"/>
  <c r="G44" i="5"/>
  <c r="G47" i="5" s="1"/>
  <c r="G50" i="5" s="1"/>
  <c r="G39" i="4"/>
  <c r="G69" i="4" s="1"/>
  <c r="G73" i="4" s="1"/>
  <c r="R73" i="4" s="1"/>
  <c r="S70" i="4" s="1"/>
  <c r="Q14" i="9"/>
  <c r="Q19" i="9" s="1"/>
  <c r="G20" i="12"/>
  <c r="G21" i="12" s="1"/>
  <c r="G15" i="9"/>
  <c r="G61" i="2"/>
  <c r="G63" i="2" s="1"/>
  <c r="R30" i="2"/>
  <c r="R19" i="2"/>
  <c r="G32" i="2"/>
  <c r="V70" i="4" l="1"/>
  <c r="R21" i="12"/>
  <c r="R19" i="9"/>
  <c r="R20" i="9" s="1"/>
  <c r="R69" i="4"/>
  <c r="R44" i="5"/>
  <c r="R47" i="5" s="1"/>
  <c r="R50" i="5" s="1"/>
  <c r="G25" i="12"/>
  <c r="G26" i="12" s="1"/>
  <c r="R32" i="2"/>
  <c r="R25" i="12" l="1"/>
  <c r="R26" i="12" s="1"/>
  <c r="Q16" i="2" l="1"/>
  <c r="P16" i="2"/>
  <c r="O16" i="2"/>
  <c r="N16" i="2"/>
  <c r="L32" i="13" l="1"/>
  <c r="L33" i="13" s="1"/>
  <c r="D32" i="13"/>
  <c r="D33" i="13" s="1"/>
  <c r="C32" i="13"/>
  <c r="Q9" i="2"/>
  <c r="L17" i="13" l="1"/>
  <c r="L16" i="13"/>
  <c r="L15" i="13" s="1"/>
  <c r="L12" i="13"/>
  <c r="L11" i="13"/>
  <c r="K10" i="13"/>
  <c r="D15" i="13"/>
  <c r="D10" i="13"/>
  <c r="N17" i="10"/>
  <c r="N12" i="10"/>
  <c r="N10" i="10"/>
  <c r="N14" i="10" s="1"/>
  <c r="N8" i="10"/>
  <c r="M8" i="10"/>
  <c r="E14" i="10"/>
  <c r="E19" i="10" s="1"/>
  <c r="E20" i="10" s="1"/>
  <c r="N66" i="7"/>
  <c r="M66" i="7"/>
  <c r="N60" i="7"/>
  <c r="N56" i="7"/>
  <c r="M60" i="7"/>
  <c r="L60" i="7"/>
  <c r="M56" i="7"/>
  <c r="L56" i="7"/>
  <c r="E63" i="7"/>
  <c r="L10" i="13" l="1"/>
  <c r="L20" i="13" s="1"/>
  <c r="L21" i="13" s="1"/>
  <c r="D20" i="13"/>
  <c r="D25" i="13" s="1"/>
  <c r="D26" i="13" s="1"/>
  <c r="N19" i="10"/>
  <c r="N20" i="10" s="1"/>
  <c r="N15" i="10"/>
  <c r="E15" i="10"/>
  <c r="D21" i="13" l="1"/>
  <c r="L25" i="13"/>
  <c r="L26" i="13" s="1"/>
  <c r="B4" i="8" l="1"/>
  <c r="N8" i="7" l="1"/>
  <c r="N11" i="7"/>
  <c r="N12" i="7"/>
  <c r="N13" i="7"/>
  <c r="N15" i="7"/>
  <c r="N16" i="7"/>
  <c r="N17" i="7"/>
  <c r="N21" i="7"/>
  <c r="N22" i="7"/>
  <c r="N23" i="7"/>
  <c r="N24" i="7"/>
  <c r="N25" i="7"/>
  <c r="N26" i="7"/>
  <c r="N27" i="7"/>
  <c r="N29" i="7"/>
  <c r="N30" i="7"/>
  <c r="N34" i="7"/>
  <c r="N40" i="7"/>
  <c r="N41" i="7"/>
  <c r="N42" i="7"/>
  <c r="N45" i="7"/>
  <c r="N46" i="7"/>
  <c r="N52" i="7"/>
  <c r="N53" i="7"/>
  <c r="N54" i="7"/>
  <c r="N55" i="7"/>
  <c r="N58" i="7"/>
  <c r="N59" i="7"/>
  <c r="C63" i="7"/>
  <c r="M29" i="7"/>
  <c r="L29" i="7"/>
  <c r="L30" i="7"/>
  <c r="M30" i="7"/>
  <c r="L49" i="8"/>
  <c r="K49" i="8"/>
  <c r="L36" i="8"/>
  <c r="K36" i="8"/>
  <c r="D39" i="8"/>
  <c r="D41" i="8" s="1"/>
  <c r="C39" i="8"/>
  <c r="L9" i="8"/>
  <c r="L12" i="8"/>
  <c r="L13" i="8"/>
  <c r="L14" i="8"/>
  <c r="L15" i="8"/>
  <c r="L16" i="8"/>
  <c r="L17" i="8"/>
  <c r="L20" i="8"/>
  <c r="L21" i="8"/>
  <c r="L22" i="8"/>
  <c r="L23" i="8"/>
  <c r="L24" i="8"/>
  <c r="L25" i="8"/>
  <c r="L26" i="8"/>
  <c r="L27" i="8"/>
  <c r="L28" i="8"/>
  <c r="L35" i="8"/>
  <c r="L37" i="8"/>
  <c r="L38" i="8"/>
  <c r="L40" i="8"/>
  <c r="L43" i="8"/>
  <c r="L44" i="8"/>
  <c r="L47" i="8"/>
  <c r="L48" i="8"/>
  <c r="L52" i="8"/>
  <c r="L53" i="8"/>
  <c r="L54" i="8"/>
  <c r="L56" i="8"/>
  <c r="L57" i="8"/>
  <c r="L58" i="8"/>
  <c r="L59" i="8"/>
  <c r="D60" i="8"/>
  <c r="D50" i="8"/>
  <c r="C50" i="8"/>
  <c r="D29" i="8"/>
  <c r="C29" i="8"/>
  <c r="K28" i="8"/>
  <c r="K15" i="8"/>
  <c r="D18" i="8"/>
  <c r="N10" i="6"/>
  <c r="N8" i="6"/>
  <c r="N16" i="6"/>
  <c r="N17" i="6"/>
  <c r="N18" i="6"/>
  <c r="N19" i="6"/>
  <c r="N20" i="6"/>
  <c r="N21" i="6"/>
  <c r="N23" i="6"/>
  <c r="N24" i="6"/>
  <c r="N25" i="6"/>
  <c r="N26" i="6"/>
  <c r="N27" i="6"/>
  <c r="N31" i="6"/>
  <c r="N29" i="6"/>
  <c r="N32" i="6"/>
  <c r="N33" i="6"/>
  <c r="N38" i="6"/>
  <c r="N39" i="6"/>
  <c r="N41" i="6"/>
  <c r="N44" i="6"/>
  <c r="N47" i="6"/>
  <c r="E37" i="6"/>
  <c r="E12" i="6"/>
  <c r="N12" i="6" l="1"/>
  <c r="N37" i="6"/>
  <c r="E36" i="7"/>
  <c r="E65" i="7" s="1"/>
  <c r="E69" i="7" s="1"/>
  <c r="N69" i="7" s="1"/>
  <c r="N63" i="7"/>
  <c r="N18" i="7"/>
  <c r="N32" i="7" s="1"/>
  <c r="N36" i="7" s="1"/>
  <c r="L39" i="8"/>
  <c r="N49" i="7"/>
  <c r="D31" i="8"/>
  <c r="L60" i="8"/>
  <c r="L29" i="8"/>
  <c r="D62" i="8"/>
  <c r="D64" i="8" s="1"/>
  <c r="L50" i="8"/>
  <c r="L18" i="8"/>
  <c r="L41" i="8"/>
  <c r="E43" i="6" l="1"/>
  <c r="E46" i="6" s="1"/>
  <c r="E49" i="6" s="1"/>
  <c r="N43" i="6"/>
  <c r="N46" i="6" s="1"/>
  <c r="N49" i="6" s="1"/>
  <c r="N65" i="7"/>
  <c r="L62" i="8"/>
  <c r="L64" i="8" s="1"/>
  <c r="L31" i="8"/>
  <c r="O72" i="4" l="1"/>
  <c r="P72" i="4"/>
  <c r="Q72" i="4"/>
  <c r="N32" i="4"/>
  <c r="O32" i="4"/>
  <c r="P32" i="4"/>
  <c r="P48" i="2"/>
  <c r="O48" i="2"/>
  <c r="N48" i="2"/>
  <c r="E30" i="2"/>
  <c r="P29" i="2"/>
  <c r="D30" i="2"/>
  <c r="O29" i="2"/>
  <c r="C30" i="2"/>
  <c r="N29" i="2"/>
  <c r="Q33" i="12" l="1"/>
  <c r="Q23" i="12"/>
  <c r="F33" i="12"/>
  <c r="Q32" i="4"/>
  <c r="Q25" i="12" l="1"/>
  <c r="Q26" i="12" s="1"/>
  <c r="Q21" i="12"/>
  <c r="Q8" i="9"/>
  <c r="F14" i="9"/>
  <c r="F19" i="9" s="1"/>
  <c r="F20" i="9" s="1"/>
  <c r="Q58" i="4"/>
  <c r="Q59" i="4"/>
  <c r="Q60" i="4"/>
  <c r="Q62" i="4"/>
  <c r="Q63" i="4"/>
  <c r="Q56" i="4"/>
  <c r="Q44" i="4"/>
  <c r="Q45" i="4"/>
  <c r="Q46" i="4"/>
  <c r="Q47" i="4"/>
  <c r="Q50" i="4"/>
  <c r="Q51" i="4"/>
  <c r="Q43" i="4"/>
  <c r="Q37" i="4"/>
  <c r="Q33" i="4"/>
  <c r="Q25" i="4"/>
  <c r="Q26" i="4"/>
  <c r="Q27" i="4"/>
  <c r="Q28" i="4"/>
  <c r="Q29" i="4"/>
  <c r="Q24" i="4"/>
  <c r="Q12" i="4"/>
  <c r="Q13" i="4"/>
  <c r="Q14" i="4"/>
  <c r="Q16" i="4"/>
  <c r="Q17" i="4"/>
  <c r="Q18" i="4"/>
  <c r="Q19" i="4"/>
  <c r="Q11" i="4"/>
  <c r="F39" i="4"/>
  <c r="F69" i="4" s="1"/>
  <c r="F73" i="4" s="1"/>
  <c r="Q48" i="5"/>
  <c r="Q45" i="5"/>
  <c r="Q42" i="5"/>
  <c r="Q40" i="5"/>
  <c r="Q39" i="5"/>
  <c r="Q33" i="5"/>
  <c r="Q17" i="5"/>
  <c r="Q18" i="5"/>
  <c r="Q19" i="5"/>
  <c r="Q20" i="5"/>
  <c r="Q21" i="5"/>
  <c r="Q23" i="5"/>
  <c r="Q24" i="5"/>
  <c r="Q25" i="5"/>
  <c r="Q26" i="5"/>
  <c r="Q28" i="5"/>
  <c r="Q29" i="5"/>
  <c r="Q16" i="5"/>
  <c r="Q10" i="5"/>
  <c r="Q12" i="5" s="1"/>
  <c r="Q34" i="5"/>
  <c r="Q30" i="5"/>
  <c r="Q53" i="2"/>
  <c r="Q54" i="2"/>
  <c r="Q55" i="2"/>
  <c r="Q56" i="2"/>
  <c r="Q57" i="2"/>
  <c r="Q58" i="2"/>
  <c r="Q52" i="2"/>
  <c r="Q48" i="2"/>
  <c r="Q45" i="2"/>
  <c r="Q46" i="2"/>
  <c r="Q47" i="2"/>
  <c r="Q44" i="2"/>
  <c r="Q38" i="2"/>
  <c r="Q39" i="2"/>
  <c r="Q41" i="2"/>
  <c r="Q36" i="2"/>
  <c r="Q29" i="2"/>
  <c r="Q22" i="2"/>
  <c r="Q23" i="2"/>
  <c r="Q24" i="2"/>
  <c r="Q25" i="2"/>
  <c r="Q26" i="2"/>
  <c r="Q27" i="2"/>
  <c r="Q28" i="2"/>
  <c r="Q21" i="2"/>
  <c r="Q11" i="2"/>
  <c r="Q12" i="2"/>
  <c r="Q13" i="2"/>
  <c r="Q15" i="2"/>
  <c r="Q17" i="2"/>
  <c r="Q18" i="2"/>
  <c r="F59" i="2"/>
  <c r="F30" i="2"/>
  <c r="F19" i="2"/>
  <c r="O8" i="5"/>
  <c r="P8" i="5"/>
  <c r="F38" i="5"/>
  <c r="F12" i="5"/>
  <c r="Q67" i="4" l="1"/>
  <c r="Q14" i="5"/>
  <c r="Q15" i="9"/>
  <c r="Q20" i="9"/>
  <c r="Q40" i="2"/>
  <c r="Q42" i="2" s="1"/>
  <c r="F61" i="2"/>
  <c r="F32" i="2"/>
  <c r="F42" i="2"/>
  <c r="Q73" i="4"/>
  <c r="R70" i="4" s="1"/>
  <c r="F20" i="12"/>
  <c r="F25" i="12" s="1"/>
  <c r="F26" i="12" s="1"/>
  <c r="Q59" i="2"/>
  <c r="Q53" i="4"/>
  <c r="F44" i="5"/>
  <c r="F47" i="5" s="1"/>
  <c r="F50" i="5" s="1"/>
  <c r="Q30" i="2"/>
  <c r="F15" i="9"/>
  <c r="Q19" i="2"/>
  <c r="Q38" i="5"/>
  <c r="Q61" i="2" l="1"/>
  <c r="Q63" i="2" s="1"/>
  <c r="Q35" i="4"/>
  <c r="Q39" i="4" s="1"/>
  <c r="Q69" i="4" s="1"/>
  <c r="F21" i="12"/>
  <c r="F63" i="2"/>
  <c r="Q32" i="2"/>
  <c r="Q44" i="5"/>
  <c r="Q47" i="5" s="1"/>
  <c r="Q50" i="5" s="1"/>
  <c r="E509" i="3"/>
  <c r="F493" i="3"/>
  <c r="D493" i="3"/>
  <c r="L66" i="7" l="1"/>
  <c r="N72" i="4" l="1"/>
  <c r="N70" i="4"/>
  <c r="D32" i="7"/>
  <c r="C32" i="7"/>
  <c r="E35" i="4"/>
  <c r="D35" i="4"/>
  <c r="C35" i="4"/>
  <c r="D42" i="2"/>
  <c r="E42" i="2"/>
  <c r="C42" i="2"/>
  <c r="C41" i="8"/>
  <c r="B4" i="13" l="1"/>
  <c r="B4" i="12"/>
  <c r="B4" i="10"/>
  <c r="B4" i="9"/>
  <c r="B4" i="23"/>
  <c r="B4" i="19"/>
  <c r="B4" i="7"/>
  <c r="B4" i="6"/>
  <c r="B4" i="4"/>
  <c r="B4" i="2"/>
  <c r="B4" i="5"/>
  <c r="C530" i="3" l="1"/>
  <c r="C515" i="3"/>
  <c r="C478" i="3"/>
  <c r="J6" i="23" s="1"/>
  <c r="C447" i="3"/>
  <c r="B26" i="19" s="1"/>
  <c r="C408" i="3"/>
  <c r="C346" i="3"/>
  <c r="C380" i="3"/>
  <c r="C308" i="3"/>
  <c r="K32" i="13"/>
  <c r="K33" i="13" s="1"/>
  <c r="C33" i="13"/>
  <c r="C15" i="13"/>
  <c r="C10" i="13"/>
  <c r="P33" i="12"/>
  <c r="O33" i="12"/>
  <c r="N33" i="12"/>
  <c r="O23" i="12"/>
  <c r="P23" i="12"/>
  <c r="N23" i="12"/>
  <c r="N17" i="12"/>
  <c r="N16" i="12"/>
  <c r="N12" i="12"/>
  <c r="N11" i="12"/>
  <c r="D33" i="12"/>
  <c r="E33" i="12"/>
  <c r="C33" i="12"/>
  <c r="C301" i="3"/>
  <c r="C272" i="3"/>
  <c r="M17" i="10"/>
  <c r="L17" i="10"/>
  <c r="D14" i="10"/>
  <c r="D19" i="10" s="1"/>
  <c r="D20" i="10" s="1"/>
  <c r="C14" i="10"/>
  <c r="C15" i="10" s="1"/>
  <c r="M12" i="10"/>
  <c r="L12" i="10"/>
  <c r="M10" i="10"/>
  <c r="L10" i="10"/>
  <c r="L8" i="10"/>
  <c r="P17" i="9"/>
  <c r="O17" i="9"/>
  <c r="N17" i="9"/>
  <c r="N12" i="9"/>
  <c r="O12" i="9"/>
  <c r="P12" i="9"/>
  <c r="D14" i="9"/>
  <c r="D15" i="9" s="1"/>
  <c r="E14" i="9"/>
  <c r="E19" i="9" s="1"/>
  <c r="E20" i="9" s="1"/>
  <c r="C19" i="9"/>
  <c r="C20" i="9" s="1"/>
  <c r="C265" i="3"/>
  <c r="P10" i="9"/>
  <c r="O10" i="9"/>
  <c r="N10" i="9"/>
  <c r="P8" i="9"/>
  <c r="O8" i="9"/>
  <c r="N8" i="9"/>
  <c r="K15" i="13"/>
  <c r="D39" i="4"/>
  <c r="E39" i="4"/>
  <c r="C39" i="4"/>
  <c r="D36" i="7"/>
  <c r="C36" i="7"/>
  <c r="N58" i="4"/>
  <c r="O58" i="4"/>
  <c r="P58" i="4"/>
  <c r="L53" i="7"/>
  <c r="M53" i="7"/>
  <c r="C12" i="3"/>
  <c r="C60" i="8"/>
  <c r="K59" i="8"/>
  <c r="K58" i="8"/>
  <c r="K57" i="8"/>
  <c r="K56" i="8"/>
  <c r="K54" i="8"/>
  <c r="K53" i="8"/>
  <c r="K52" i="8"/>
  <c r="K48" i="8"/>
  <c r="K47" i="8"/>
  <c r="K44" i="8"/>
  <c r="K43" i="8"/>
  <c r="K40" i="8"/>
  <c r="K38" i="8"/>
  <c r="K37" i="8"/>
  <c r="K35" i="8"/>
  <c r="K27" i="8"/>
  <c r="K26" i="8"/>
  <c r="K25" i="8"/>
  <c r="K24" i="8"/>
  <c r="K23" i="8"/>
  <c r="K22" i="8"/>
  <c r="K21" i="8"/>
  <c r="K20" i="8"/>
  <c r="C18" i="8"/>
  <c r="K17" i="8"/>
  <c r="K16" i="8"/>
  <c r="K14" i="8"/>
  <c r="K13" i="8"/>
  <c r="K12" i="8"/>
  <c r="K9" i="8"/>
  <c r="E53" i="4"/>
  <c r="D53" i="4"/>
  <c r="C53" i="4"/>
  <c r="C99" i="3"/>
  <c r="M59" i="7"/>
  <c r="L59" i="7"/>
  <c r="M58" i="7"/>
  <c r="L58" i="7"/>
  <c r="L55" i="7"/>
  <c r="M54" i="7"/>
  <c r="L54" i="7"/>
  <c r="M52" i="7"/>
  <c r="L52" i="7"/>
  <c r="M46" i="7"/>
  <c r="L46" i="7"/>
  <c r="M45" i="7"/>
  <c r="L45" i="7"/>
  <c r="M42" i="7"/>
  <c r="L42" i="7"/>
  <c r="M41" i="7"/>
  <c r="L41" i="7"/>
  <c r="M40" i="7"/>
  <c r="L40" i="7"/>
  <c r="M34" i="7"/>
  <c r="L34" i="7"/>
  <c r="M27" i="7"/>
  <c r="L27" i="7"/>
  <c r="M26" i="7"/>
  <c r="L26" i="7"/>
  <c r="M25" i="7"/>
  <c r="L25" i="7"/>
  <c r="M24" i="7"/>
  <c r="L24" i="7"/>
  <c r="M23" i="7"/>
  <c r="L23" i="7"/>
  <c r="M22" i="7"/>
  <c r="L22" i="7"/>
  <c r="M21" i="7"/>
  <c r="L21" i="7"/>
  <c r="M17" i="7"/>
  <c r="L17" i="7"/>
  <c r="M16" i="7"/>
  <c r="L16" i="7"/>
  <c r="M15" i="7"/>
  <c r="L15" i="7"/>
  <c r="M13" i="7"/>
  <c r="L13" i="7"/>
  <c r="M12" i="7"/>
  <c r="L12" i="7"/>
  <c r="M11" i="7"/>
  <c r="L11" i="7"/>
  <c r="M8" i="7"/>
  <c r="L8" i="7"/>
  <c r="D37" i="6"/>
  <c r="C37" i="6"/>
  <c r="D12" i="6"/>
  <c r="C12" i="6"/>
  <c r="C194" i="3"/>
  <c r="M47" i="6"/>
  <c r="L47" i="6"/>
  <c r="M44" i="6"/>
  <c r="L44" i="6"/>
  <c r="M41" i="6"/>
  <c r="L41" i="6"/>
  <c r="M39" i="6"/>
  <c r="L39" i="6"/>
  <c r="M38" i="6"/>
  <c r="L38" i="6"/>
  <c r="M33" i="6"/>
  <c r="L33" i="6"/>
  <c r="M32" i="6"/>
  <c r="L32" i="6"/>
  <c r="M29" i="6"/>
  <c r="L29" i="6"/>
  <c r="M31" i="6"/>
  <c r="L31" i="6"/>
  <c r="M27" i="6"/>
  <c r="L27" i="6"/>
  <c r="M26" i="6"/>
  <c r="L26" i="6"/>
  <c r="M25" i="6"/>
  <c r="L25" i="6"/>
  <c r="M24" i="6"/>
  <c r="L24" i="6"/>
  <c r="M23" i="6"/>
  <c r="L23" i="6"/>
  <c r="M21" i="6"/>
  <c r="L21" i="6"/>
  <c r="M20" i="6"/>
  <c r="L20" i="6"/>
  <c r="M19" i="6"/>
  <c r="L19" i="6"/>
  <c r="M18" i="6"/>
  <c r="L18" i="6"/>
  <c r="M17" i="6"/>
  <c r="L17" i="6"/>
  <c r="M16" i="6"/>
  <c r="L16" i="6"/>
  <c r="M10" i="6"/>
  <c r="L10" i="6"/>
  <c r="M8" i="6"/>
  <c r="L8" i="6"/>
  <c r="N10" i="5"/>
  <c r="O10" i="5"/>
  <c r="O12" i="5" s="1"/>
  <c r="P10" i="5"/>
  <c r="P12" i="5" s="1"/>
  <c r="N16" i="5"/>
  <c r="O16" i="5"/>
  <c r="P16" i="5"/>
  <c r="N17" i="5"/>
  <c r="O17" i="5"/>
  <c r="P17" i="5"/>
  <c r="N18" i="5"/>
  <c r="O18" i="5"/>
  <c r="P18" i="5"/>
  <c r="N19" i="5"/>
  <c r="O19" i="5"/>
  <c r="P19" i="5"/>
  <c r="N20" i="5"/>
  <c r="O20" i="5"/>
  <c r="P20" i="5"/>
  <c r="P21" i="5"/>
  <c r="N23" i="5"/>
  <c r="O23" i="5"/>
  <c r="P23" i="5"/>
  <c r="N24" i="5"/>
  <c r="O24" i="5"/>
  <c r="P24" i="5"/>
  <c r="N25" i="5"/>
  <c r="O25" i="5"/>
  <c r="P25" i="5"/>
  <c r="N26" i="5"/>
  <c r="O26" i="5"/>
  <c r="P26" i="5"/>
  <c r="N28" i="5"/>
  <c r="O28" i="5"/>
  <c r="P28" i="5"/>
  <c r="N29" i="5"/>
  <c r="O29" i="5"/>
  <c r="P29" i="5"/>
  <c r="N30" i="5"/>
  <c r="O30" i="5"/>
  <c r="P30" i="5"/>
  <c r="N33" i="5"/>
  <c r="O33" i="5"/>
  <c r="P33" i="5"/>
  <c r="N34" i="5"/>
  <c r="O34" i="5"/>
  <c r="P34" i="5"/>
  <c r="N39" i="5"/>
  <c r="O39" i="5"/>
  <c r="P39" i="5"/>
  <c r="N40" i="5"/>
  <c r="O40" i="5"/>
  <c r="P40" i="5"/>
  <c r="N42" i="5"/>
  <c r="O42" i="5"/>
  <c r="P42" i="5"/>
  <c r="N45" i="5"/>
  <c r="O45" i="5"/>
  <c r="P45" i="5"/>
  <c r="N48" i="5"/>
  <c r="O48" i="5"/>
  <c r="P48" i="5"/>
  <c r="N8" i="5"/>
  <c r="C252" i="3"/>
  <c r="C250" i="3"/>
  <c r="C246" i="3"/>
  <c r="C242" i="3"/>
  <c r="C209" i="3"/>
  <c r="C208" i="3"/>
  <c r="C206" i="3"/>
  <c r="E38" i="5"/>
  <c r="D38" i="5"/>
  <c r="C38" i="5"/>
  <c r="E12" i="5"/>
  <c r="D12" i="5"/>
  <c r="C12" i="5"/>
  <c r="C187" i="3"/>
  <c r="B53" i="5" s="1"/>
  <c r="C92" i="3"/>
  <c r="N11" i="4"/>
  <c r="O11" i="4"/>
  <c r="P11" i="4"/>
  <c r="N12" i="4"/>
  <c r="O12" i="4"/>
  <c r="P12" i="4"/>
  <c r="N13" i="4"/>
  <c r="O13" i="4"/>
  <c r="P13" i="4"/>
  <c r="N14" i="4"/>
  <c r="O14" i="4"/>
  <c r="P14" i="4"/>
  <c r="N16" i="4"/>
  <c r="O16" i="4"/>
  <c r="P16" i="4"/>
  <c r="N17" i="4"/>
  <c r="O17" i="4"/>
  <c r="P17" i="4"/>
  <c r="N18" i="4"/>
  <c r="O18" i="4"/>
  <c r="P18" i="4"/>
  <c r="N19" i="4"/>
  <c r="O19" i="4"/>
  <c r="P19" i="4"/>
  <c r="N24" i="4"/>
  <c r="O24" i="4"/>
  <c r="P24" i="4"/>
  <c r="N25" i="4"/>
  <c r="O25" i="4"/>
  <c r="P25" i="4"/>
  <c r="N26" i="4"/>
  <c r="O26" i="4"/>
  <c r="P26" i="4"/>
  <c r="N27" i="4"/>
  <c r="O27" i="4"/>
  <c r="P27" i="4"/>
  <c r="N28" i="4"/>
  <c r="O28" i="4"/>
  <c r="P28" i="4"/>
  <c r="N29" i="4"/>
  <c r="O29" i="4"/>
  <c r="P29" i="4"/>
  <c r="N30" i="4"/>
  <c r="O30" i="4"/>
  <c r="P30" i="4"/>
  <c r="N33" i="4"/>
  <c r="O33" i="4"/>
  <c r="P33" i="4"/>
  <c r="N37" i="4"/>
  <c r="O37" i="4"/>
  <c r="P37" i="4"/>
  <c r="N43" i="4"/>
  <c r="O43" i="4"/>
  <c r="P43" i="4"/>
  <c r="N44" i="4"/>
  <c r="O44" i="4"/>
  <c r="P44" i="4"/>
  <c r="N45" i="4"/>
  <c r="O45" i="4"/>
  <c r="P45" i="4"/>
  <c r="N46" i="4"/>
  <c r="O46" i="4"/>
  <c r="P46" i="4"/>
  <c r="N47" i="4"/>
  <c r="O47" i="4"/>
  <c r="P47" i="4"/>
  <c r="N50" i="4"/>
  <c r="O50" i="4"/>
  <c r="P50" i="4"/>
  <c r="N51" i="4"/>
  <c r="O51" i="4"/>
  <c r="P51" i="4"/>
  <c r="N56" i="4"/>
  <c r="O56" i="4"/>
  <c r="P56" i="4"/>
  <c r="N59" i="4"/>
  <c r="O59" i="4"/>
  <c r="P59" i="4"/>
  <c r="N60" i="4"/>
  <c r="O60" i="4"/>
  <c r="P60" i="4"/>
  <c r="N62" i="4"/>
  <c r="O62" i="4"/>
  <c r="P62" i="4"/>
  <c r="N63" i="4"/>
  <c r="O63" i="4"/>
  <c r="P63" i="4"/>
  <c r="O8" i="4"/>
  <c r="P8" i="4"/>
  <c r="N8" i="4"/>
  <c r="C173" i="3"/>
  <c r="C171" i="3"/>
  <c r="C159" i="3"/>
  <c r="C154" i="3"/>
  <c r="C142" i="3"/>
  <c r="C140" i="3"/>
  <c r="C138" i="3"/>
  <c r="C135" i="3"/>
  <c r="C134" i="3"/>
  <c r="C109" i="3"/>
  <c r="D19" i="2"/>
  <c r="E19" i="2"/>
  <c r="C19" i="2"/>
  <c r="D59" i="2"/>
  <c r="E59" i="2"/>
  <c r="C59" i="2"/>
  <c r="N17" i="2"/>
  <c r="O17" i="2"/>
  <c r="P17" i="2"/>
  <c r="N18" i="2"/>
  <c r="O18" i="2"/>
  <c r="P18" i="2"/>
  <c r="N21" i="2"/>
  <c r="O21" i="2"/>
  <c r="P21" i="2"/>
  <c r="N22" i="2"/>
  <c r="O22" i="2"/>
  <c r="P22" i="2"/>
  <c r="N23" i="2"/>
  <c r="O23" i="2"/>
  <c r="P23" i="2"/>
  <c r="N24" i="2"/>
  <c r="O24" i="2"/>
  <c r="P24" i="2"/>
  <c r="N25" i="2"/>
  <c r="O25" i="2"/>
  <c r="P25" i="2"/>
  <c r="N26" i="2"/>
  <c r="O26" i="2"/>
  <c r="P26" i="2"/>
  <c r="N27" i="2"/>
  <c r="O27" i="2"/>
  <c r="P27" i="2"/>
  <c r="N28" i="2"/>
  <c r="O28" i="2"/>
  <c r="P28" i="2"/>
  <c r="N36" i="2"/>
  <c r="O36" i="2"/>
  <c r="P36" i="2"/>
  <c r="N38" i="2"/>
  <c r="O38" i="2"/>
  <c r="P38" i="2"/>
  <c r="N39" i="2"/>
  <c r="O39" i="2"/>
  <c r="P39" i="2"/>
  <c r="N41" i="2"/>
  <c r="O41" i="2"/>
  <c r="P41" i="2"/>
  <c r="N44" i="2"/>
  <c r="O44" i="2"/>
  <c r="P44" i="2"/>
  <c r="N45" i="2"/>
  <c r="O45" i="2"/>
  <c r="P45" i="2"/>
  <c r="N46" i="2"/>
  <c r="O46" i="2"/>
  <c r="P46" i="2"/>
  <c r="N47" i="2"/>
  <c r="O47" i="2"/>
  <c r="P47" i="2"/>
  <c r="N52" i="2"/>
  <c r="O52" i="2"/>
  <c r="P52" i="2"/>
  <c r="N53" i="2"/>
  <c r="O53" i="2"/>
  <c r="P53" i="2"/>
  <c r="N54" i="2"/>
  <c r="O54" i="2"/>
  <c r="P54" i="2"/>
  <c r="N55" i="2"/>
  <c r="O55" i="2"/>
  <c r="P55" i="2"/>
  <c r="N56" i="2"/>
  <c r="O56" i="2"/>
  <c r="P56" i="2"/>
  <c r="N57" i="2"/>
  <c r="O57" i="2"/>
  <c r="P57" i="2"/>
  <c r="N58" i="2"/>
  <c r="O58" i="2"/>
  <c r="P58" i="2"/>
  <c r="N11" i="2"/>
  <c r="O11" i="2"/>
  <c r="P11" i="2"/>
  <c r="N12" i="2"/>
  <c r="O12" i="2"/>
  <c r="P12" i="2"/>
  <c r="N13" i="2"/>
  <c r="O13" i="2"/>
  <c r="P13" i="2"/>
  <c r="N15" i="2"/>
  <c r="O15" i="2"/>
  <c r="P15" i="2"/>
  <c r="O9" i="2"/>
  <c r="P9" i="2"/>
  <c r="N9" i="2"/>
  <c r="C82" i="3"/>
  <c r="C80" i="3"/>
  <c r="C68" i="3"/>
  <c r="C59" i="3"/>
  <c r="C57" i="3"/>
  <c r="C50" i="3"/>
  <c r="C48" i="3"/>
  <c r="C46" i="3"/>
  <c r="C34" i="3"/>
  <c r="C20" i="3"/>
  <c r="C5" i="3"/>
  <c r="P30" i="13" l="1"/>
  <c r="H33" i="13"/>
  <c r="P33" i="13"/>
  <c r="H32" i="13"/>
  <c r="P32" i="13"/>
  <c r="H30" i="13"/>
  <c r="J6" i="19"/>
  <c r="M6" i="19" s="1"/>
  <c r="B30" i="12"/>
  <c r="I6" i="12"/>
  <c r="N15" i="12"/>
  <c r="H6" i="9"/>
  <c r="K6" i="9" s="1"/>
  <c r="I6" i="9"/>
  <c r="I6" i="4"/>
  <c r="T6" i="4" s="1"/>
  <c r="B20" i="4"/>
  <c r="I6" i="2"/>
  <c r="T6" i="2" s="1"/>
  <c r="B49" i="2"/>
  <c r="L6" i="4"/>
  <c r="W6" i="4" s="1"/>
  <c r="I6" i="5"/>
  <c r="L6" i="5" s="1"/>
  <c r="W6" i="5" s="1"/>
  <c r="B32" i="5"/>
  <c r="H6" i="13"/>
  <c r="P6" i="13" s="1"/>
  <c r="B61" i="7"/>
  <c r="B43" i="7"/>
  <c r="B44" i="7"/>
  <c r="B59" i="7"/>
  <c r="B47" i="7"/>
  <c r="B45" i="8"/>
  <c r="B46" i="8"/>
  <c r="B30" i="13"/>
  <c r="K4" i="13"/>
  <c r="I6" i="13"/>
  <c r="Q6" i="13" s="1"/>
  <c r="F6" i="13"/>
  <c r="N6" i="13" s="1"/>
  <c r="J6" i="7"/>
  <c r="S6" i="7" s="1"/>
  <c r="G6" i="7"/>
  <c r="P6" i="7" s="1"/>
  <c r="C4" i="13"/>
  <c r="J6" i="10"/>
  <c r="S6" i="10" s="1"/>
  <c r="G6" i="10"/>
  <c r="P6" i="10" s="1"/>
  <c r="B47" i="8"/>
  <c r="I6" i="8"/>
  <c r="Q6" i="8" s="1"/>
  <c r="H6" i="8"/>
  <c r="P6" i="8" s="1"/>
  <c r="F6" i="8"/>
  <c r="N6" i="8" s="1"/>
  <c r="E6" i="8"/>
  <c r="M6" i="8" s="1"/>
  <c r="J6" i="6"/>
  <c r="S6" i="6" s="1"/>
  <c r="F6" i="6"/>
  <c r="O6" i="6" s="1"/>
  <c r="I6" i="6"/>
  <c r="R6" i="6" s="1"/>
  <c r="G6" i="6"/>
  <c r="P6" i="6" s="1"/>
  <c r="B31" i="6"/>
  <c r="C6" i="6"/>
  <c r="L6" i="6" s="1"/>
  <c r="N10" i="12"/>
  <c r="N20" i="12" s="1"/>
  <c r="N21" i="12" s="1"/>
  <c r="B13" i="12"/>
  <c r="B18" i="12"/>
  <c r="G6" i="12"/>
  <c r="R6" i="12" s="1"/>
  <c r="H6" i="12"/>
  <c r="I6" i="19"/>
  <c r="L6" i="19" s="1"/>
  <c r="I6" i="23"/>
  <c r="B10" i="23"/>
  <c r="B64" i="4"/>
  <c r="B76" i="4"/>
  <c r="B49" i="4"/>
  <c r="B48" i="4"/>
  <c r="B15" i="4"/>
  <c r="B17" i="4"/>
  <c r="B56" i="4"/>
  <c r="H6" i="4"/>
  <c r="B10" i="2"/>
  <c r="B14" i="2"/>
  <c r="B65" i="2"/>
  <c r="B67" i="2"/>
  <c r="B52" i="5"/>
  <c r="H6" i="5"/>
  <c r="G6" i="2"/>
  <c r="R6" i="2" s="1"/>
  <c r="H6" i="2"/>
  <c r="P40" i="2"/>
  <c r="B27" i="5"/>
  <c r="B22" i="5"/>
  <c r="B21" i="5"/>
  <c r="B57" i="4"/>
  <c r="B52" i="7"/>
  <c r="B13" i="13"/>
  <c r="B18" i="13"/>
  <c r="B28" i="7"/>
  <c r="B57" i="7"/>
  <c r="B56" i="7"/>
  <c r="B14" i="7"/>
  <c r="B55" i="8"/>
  <c r="B10" i="8"/>
  <c r="B28" i="6"/>
  <c r="B22" i="6"/>
  <c r="E6" i="13"/>
  <c r="M6" i="13" s="1"/>
  <c r="I6" i="10"/>
  <c r="R6" i="10" s="1"/>
  <c r="F6" i="10"/>
  <c r="O6" i="10" s="1"/>
  <c r="F6" i="7"/>
  <c r="O6" i="7" s="1"/>
  <c r="I6" i="7"/>
  <c r="R6" i="7" s="1"/>
  <c r="B11" i="8"/>
  <c r="N67" i="4"/>
  <c r="N14" i="5"/>
  <c r="B15" i="7"/>
  <c r="N14" i="9"/>
  <c r="N19" i="9" s="1"/>
  <c r="N20" i="9" s="1"/>
  <c r="O40" i="2"/>
  <c r="P67" i="4"/>
  <c r="P14" i="5"/>
  <c r="K18" i="8"/>
  <c r="K29" i="8"/>
  <c r="K39" i="8"/>
  <c r="K41" i="8" s="1"/>
  <c r="K50" i="8"/>
  <c r="N40" i="2"/>
  <c r="O67" i="4"/>
  <c r="O14" i="5"/>
  <c r="G6" i="9"/>
  <c r="R6" i="9" s="1"/>
  <c r="H6" i="19"/>
  <c r="B23" i="19"/>
  <c r="B31" i="4"/>
  <c r="B65" i="4"/>
  <c r="B61" i="4"/>
  <c r="B32" i="4"/>
  <c r="G6" i="4"/>
  <c r="R6" i="4" s="1"/>
  <c r="B37" i="2"/>
  <c r="N12" i="5"/>
  <c r="F6" i="5"/>
  <c r="G6" i="5"/>
  <c r="R6" i="5" s="1"/>
  <c r="C7" i="23"/>
  <c r="C11" i="23"/>
  <c r="C15" i="23"/>
  <c r="C19" i="23"/>
  <c r="C23" i="23"/>
  <c r="B22" i="23"/>
  <c r="B23" i="23"/>
  <c r="C8" i="23"/>
  <c r="C18" i="23"/>
  <c r="B26" i="23"/>
  <c r="C12" i="23"/>
  <c r="C16" i="23"/>
  <c r="C20" i="23"/>
  <c r="C24" i="23"/>
  <c r="C14" i="23"/>
  <c r="B21" i="23"/>
  <c r="B25" i="23"/>
  <c r="C9" i="23"/>
  <c r="C13" i="23"/>
  <c r="C17" i="23"/>
  <c r="C21" i="23"/>
  <c r="C25" i="23"/>
  <c r="B24" i="23"/>
  <c r="C22" i="23"/>
  <c r="H6" i="23"/>
  <c r="B7" i="23"/>
  <c r="B14" i="23"/>
  <c r="B18" i="23"/>
  <c r="B11" i="23"/>
  <c r="B15" i="23"/>
  <c r="B12" i="23"/>
  <c r="B8" i="23"/>
  <c r="B13" i="23"/>
  <c r="B19" i="23"/>
  <c r="B9" i="23"/>
  <c r="B16" i="23"/>
  <c r="B20" i="23"/>
  <c r="B17" i="23"/>
  <c r="N38" i="5"/>
  <c r="P38" i="5"/>
  <c r="L63" i="7"/>
  <c r="O14" i="9"/>
  <c r="O19" i="9" s="1"/>
  <c r="O20" i="9" s="1"/>
  <c r="M14" i="10"/>
  <c r="M19" i="10" s="1"/>
  <c r="M20" i="10" s="1"/>
  <c r="O38" i="5"/>
  <c r="M49" i="7"/>
  <c r="B15" i="2"/>
  <c r="B16" i="2"/>
  <c r="B60" i="7"/>
  <c r="B18" i="19"/>
  <c r="C18" i="19"/>
  <c r="B29" i="7"/>
  <c r="B2" i="13"/>
  <c r="D6" i="13"/>
  <c r="L6" i="13" s="1"/>
  <c r="B12" i="10"/>
  <c r="E6" i="10"/>
  <c r="N6" i="10" s="1"/>
  <c r="B16" i="8"/>
  <c r="B17" i="8"/>
  <c r="B14" i="8"/>
  <c r="B15" i="8"/>
  <c r="B49" i="8"/>
  <c r="B28" i="8"/>
  <c r="B36" i="8"/>
  <c r="B32" i="7"/>
  <c r="B30" i="7"/>
  <c r="E6" i="7"/>
  <c r="B2" i="6"/>
  <c r="E6" i="6"/>
  <c r="N6" i="6" s="1"/>
  <c r="B39" i="8"/>
  <c r="D6" i="8"/>
  <c r="L6" i="8" s="1"/>
  <c r="M12" i="6"/>
  <c r="M37" i="6"/>
  <c r="P14" i="9"/>
  <c r="P19" i="9" s="1"/>
  <c r="P20" i="9" s="1"/>
  <c r="P30" i="2"/>
  <c r="L18" i="7"/>
  <c r="L32" i="7" s="1"/>
  <c r="L36" i="7" s="1"/>
  <c r="L49" i="7"/>
  <c r="K60" i="8"/>
  <c r="N30" i="2"/>
  <c r="O30" i="2"/>
  <c r="M18" i="7"/>
  <c r="E61" i="2"/>
  <c r="E63" i="2" s="1"/>
  <c r="D44" i="5"/>
  <c r="D47" i="5" s="1"/>
  <c r="D50" i="5" s="1"/>
  <c r="C44" i="5"/>
  <c r="C47" i="5" s="1"/>
  <c r="C50" i="5" s="1"/>
  <c r="B2" i="12"/>
  <c r="F6" i="12"/>
  <c r="Q6" i="12" s="1"/>
  <c r="C4" i="9"/>
  <c r="F6" i="9"/>
  <c r="Q6" i="9" s="1"/>
  <c r="F6" i="4"/>
  <c r="Q6" i="4" s="1"/>
  <c r="B48" i="2"/>
  <c r="B29" i="2"/>
  <c r="N53" i="4"/>
  <c r="N35" i="4"/>
  <c r="N39" i="4" s="1"/>
  <c r="P53" i="4"/>
  <c r="O35" i="4"/>
  <c r="O39" i="4" s="1"/>
  <c r="O53" i="4"/>
  <c r="P35" i="4"/>
  <c r="P39" i="4" s="1"/>
  <c r="F6" i="2"/>
  <c r="Q6" i="2" s="1"/>
  <c r="B47" i="2"/>
  <c r="P19" i="2"/>
  <c r="N59" i="2"/>
  <c r="N61" i="2" s="1"/>
  <c r="O19" i="2"/>
  <c r="P59" i="2"/>
  <c r="P61" i="2" s="1"/>
  <c r="O59" i="2"/>
  <c r="O61" i="2" s="1"/>
  <c r="P42" i="2"/>
  <c r="N19" i="2"/>
  <c r="O42" i="2"/>
  <c r="N42" i="2"/>
  <c r="C62" i="8"/>
  <c r="C64" i="8" s="1"/>
  <c r="C20" i="12"/>
  <c r="C21" i="12" s="1"/>
  <c r="B2" i="4"/>
  <c r="B75" i="4"/>
  <c r="C4" i="5"/>
  <c r="D61" i="2"/>
  <c r="D63" i="2" s="1"/>
  <c r="K21" i="13"/>
  <c r="D20" i="12"/>
  <c r="D25" i="12" s="1"/>
  <c r="D26" i="12" s="1"/>
  <c r="E32" i="2"/>
  <c r="C19" i="10"/>
  <c r="C20" i="10" s="1"/>
  <c r="L37" i="6"/>
  <c r="D43" i="6"/>
  <c r="D46" i="6" s="1"/>
  <c r="C65" i="7"/>
  <c r="C69" i="7" s="1"/>
  <c r="L69" i="7" s="1"/>
  <c r="E69" i="4"/>
  <c r="E73" i="4" s="1"/>
  <c r="P73" i="4" s="1"/>
  <c r="Q70" i="4" s="1"/>
  <c r="D15" i="10"/>
  <c r="D19" i="9"/>
  <c r="D20" i="9" s="1"/>
  <c r="C20" i="13"/>
  <c r="C25" i="13" s="1"/>
  <c r="C26" i="13" s="1"/>
  <c r="C32" i="2"/>
  <c r="C31" i="8"/>
  <c r="C15" i="9"/>
  <c r="L12" i="6"/>
  <c r="C69" i="4"/>
  <c r="C73" i="4" s="1"/>
  <c r="N73" i="4" s="1"/>
  <c r="O70" i="4" s="1"/>
  <c r="C61" i="2"/>
  <c r="C63" i="2" s="1"/>
  <c r="D32" i="2"/>
  <c r="E44" i="5"/>
  <c r="E47" i="5" s="1"/>
  <c r="E50" i="5" s="1"/>
  <c r="D69" i="4"/>
  <c r="D73" i="4" s="1"/>
  <c r="O73" i="4" s="1"/>
  <c r="P70" i="4" s="1"/>
  <c r="C43" i="6"/>
  <c r="C46" i="6" s="1"/>
  <c r="C49" i="6" s="1"/>
  <c r="L14" i="10"/>
  <c r="L19" i="10" s="1"/>
  <c r="L20" i="10" s="1"/>
  <c r="E20" i="12"/>
  <c r="E21" i="12" s="1"/>
  <c r="B27" i="2"/>
  <c r="B40" i="2"/>
  <c r="E15" i="9"/>
  <c r="K4" i="8"/>
  <c r="B2" i="8"/>
  <c r="B16" i="13"/>
  <c r="B33" i="12"/>
  <c r="C12" i="27"/>
  <c r="C4" i="12"/>
  <c r="B8" i="12"/>
  <c r="B10" i="10"/>
  <c r="B15" i="12"/>
  <c r="B16" i="12"/>
  <c r="D6" i="12"/>
  <c r="O6" i="12" s="1"/>
  <c r="B23" i="12"/>
  <c r="B25" i="12"/>
  <c r="B26" i="12"/>
  <c r="B20" i="13"/>
  <c r="E6" i="12"/>
  <c r="P6" i="12" s="1"/>
  <c r="C6" i="12"/>
  <c r="N6" i="12" s="1"/>
  <c r="B17" i="12"/>
  <c r="B20" i="10"/>
  <c r="B8" i="13"/>
  <c r="B28" i="13"/>
  <c r="B17" i="13"/>
  <c r="L4" i="10"/>
  <c r="B15" i="13"/>
  <c r="B15" i="9"/>
  <c r="B19" i="10"/>
  <c r="B29" i="13"/>
  <c r="B12" i="13"/>
  <c r="N4" i="9"/>
  <c r="B17" i="10"/>
  <c r="B14" i="10"/>
  <c r="B20" i="12"/>
  <c r="B21" i="12"/>
  <c r="B12" i="12"/>
  <c r="C6" i="13"/>
  <c r="K6" i="13" s="1"/>
  <c r="B23" i="13"/>
  <c r="B21" i="13"/>
  <c r="B25" i="13"/>
  <c r="C6" i="10"/>
  <c r="L6" i="10" s="1"/>
  <c r="G6" i="23"/>
  <c r="B10" i="27"/>
  <c r="B2" i="23"/>
  <c r="B17" i="9"/>
  <c r="C4" i="10"/>
  <c r="B8" i="10"/>
  <c r="B28" i="12"/>
  <c r="B10" i="12"/>
  <c r="B29" i="12"/>
  <c r="B11" i="12"/>
  <c r="N4" i="12"/>
  <c r="B32" i="12"/>
  <c r="B33" i="13"/>
  <c r="B10" i="13"/>
  <c r="B26" i="13"/>
  <c r="B32" i="13"/>
  <c r="B11" i="13"/>
  <c r="D6" i="10"/>
  <c r="M6" i="10" s="1"/>
  <c r="B15" i="10"/>
  <c r="D6" i="9"/>
  <c r="O6" i="9" s="1"/>
  <c r="B14" i="9"/>
  <c r="B20" i="9"/>
  <c r="B19" i="9"/>
  <c r="B8" i="9"/>
  <c r="E6" i="9"/>
  <c r="P6" i="9" s="1"/>
  <c r="C6" i="9"/>
  <c r="N6" i="9" s="1"/>
  <c r="B10" i="9"/>
  <c r="B12" i="9"/>
  <c r="D6" i="23"/>
  <c r="C6" i="23"/>
  <c r="B6" i="23"/>
  <c r="B28" i="23"/>
  <c r="F6" i="23"/>
  <c r="E6" i="23"/>
  <c r="C11" i="19"/>
  <c r="C24" i="19"/>
  <c r="B15" i="19"/>
  <c r="G6" i="19"/>
  <c r="C19" i="19"/>
  <c r="E6" i="19"/>
  <c r="B6" i="19"/>
  <c r="B2" i="19"/>
  <c r="C10" i="19"/>
  <c r="C9" i="19"/>
  <c r="B13" i="19"/>
  <c r="C6" i="19"/>
  <c r="B19" i="19"/>
  <c r="B16" i="19"/>
  <c r="F6" i="19"/>
  <c r="C15" i="19"/>
  <c r="B7" i="19"/>
  <c r="B21" i="19"/>
  <c r="B11" i="19"/>
  <c r="B24" i="19"/>
  <c r="B14" i="19"/>
  <c r="C12" i="19"/>
  <c r="B12" i="19"/>
  <c r="C23" i="19"/>
  <c r="C17" i="19"/>
  <c r="C22" i="19"/>
  <c r="C16" i="19"/>
  <c r="C13" i="19"/>
  <c r="D6" i="19"/>
  <c r="B17" i="19"/>
  <c r="B9" i="19"/>
  <c r="B22" i="19"/>
  <c r="B10" i="19"/>
  <c r="C8" i="19"/>
  <c r="B8" i="19"/>
  <c r="C14" i="19"/>
  <c r="B25" i="7"/>
  <c r="B38" i="7"/>
  <c r="B27" i="7"/>
  <c r="B66" i="7"/>
  <c r="B8" i="7"/>
  <c r="B58" i="7"/>
  <c r="L4" i="7"/>
  <c r="B45" i="7"/>
  <c r="B69" i="7"/>
  <c r="B16" i="7"/>
  <c r="B63" i="7"/>
  <c r="B24" i="7"/>
  <c r="B67" i="7"/>
  <c r="B17" i="7"/>
  <c r="B26" i="7"/>
  <c r="B36" i="7"/>
  <c r="B12" i="7"/>
  <c r="D6" i="7"/>
  <c r="B65" i="7"/>
  <c r="B7" i="7"/>
  <c r="B54" i="7"/>
  <c r="B20" i="7"/>
  <c r="B10" i="7"/>
  <c r="B22" i="7"/>
  <c r="B55" i="7"/>
  <c r="B49" i="7"/>
  <c r="B53" i="7"/>
  <c r="B46" i="7"/>
  <c r="B42" i="7"/>
  <c r="B2" i="7"/>
  <c r="C4" i="7"/>
  <c r="C6" i="7"/>
  <c r="L6" i="7" s="1"/>
  <c r="B21" i="7"/>
  <c r="B68" i="7"/>
  <c r="B11" i="7"/>
  <c r="B23" i="7"/>
  <c r="B51" i="7"/>
  <c r="B34" i="7"/>
  <c r="B13" i="7"/>
  <c r="B41" i="7"/>
  <c r="B40" i="7"/>
  <c r="B64" i="8"/>
  <c r="B40" i="8"/>
  <c r="B18" i="8"/>
  <c r="B44" i="8"/>
  <c r="B21" i="8"/>
  <c r="B23" i="8"/>
  <c r="B50" i="8"/>
  <c r="B24" i="8"/>
  <c r="B59" i="8"/>
  <c r="C4" i="8"/>
  <c r="B58" i="8"/>
  <c r="B33" i="8"/>
  <c r="B12" i="8"/>
  <c r="B62" i="8"/>
  <c r="B38" i="8"/>
  <c r="B7" i="8"/>
  <c r="B43" i="8"/>
  <c r="B20" i="8"/>
  <c r="B41" i="8"/>
  <c r="C6" i="8"/>
  <c r="K6" i="8" s="1"/>
  <c r="B53" i="8"/>
  <c r="B26" i="8"/>
  <c r="B54" i="8"/>
  <c r="B57" i="8"/>
  <c r="B31" i="8"/>
  <c r="B60" i="8"/>
  <c r="B37" i="8"/>
  <c r="B27" i="8"/>
  <c r="B22" i="8"/>
  <c r="B35" i="8"/>
  <c r="B52" i="8"/>
  <c r="B25" i="8"/>
  <c r="B48" i="8"/>
  <c r="B56" i="8"/>
  <c r="B29" i="8"/>
  <c r="B9" i="8"/>
  <c r="B13" i="8"/>
  <c r="B37" i="6"/>
  <c r="B17" i="6"/>
  <c r="B35" i="6"/>
  <c r="B16" i="6"/>
  <c r="B18" i="6"/>
  <c r="B14" i="6"/>
  <c r="D6" i="6"/>
  <c r="C4" i="6"/>
  <c r="B29" i="6"/>
  <c r="B10" i="6"/>
  <c r="B8" i="6"/>
  <c r="B12" i="6"/>
  <c r="B44" i="6"/>
  <c r="B43" i="6"/>
  <c r="B21" i="6"/>
  <c r="B41" i="6"/>
  <c r="B20" i="6"/>
  <c r="B27" i="6"/>
  <c r="B39" i="6"/>
  <c r="B19" i="6"/>
  <c r="B23" i="6"/>
  <c r="L4" i="6"/>
  <c r="B33" i="6"/>
  <c r="B49" i="6"/>
  <c r="B26" i="6"/>
  <c r="B47" i="6"/>
  <c r="B25" i="6"/>
  <c r="B38" i="6"/>
  <c r="B46" i="6"/>
  <c r="B24" i="6"/>
  <c r="B32" i="6"/>
  <c r="C13" i="27"/>
  <c r="B28" i="4"/>
  <c r="B33" i="4"/>
  <c r="B71" i="4"/>
  <c r="N4" i="4"/>
  <c r="B37" i="4"/>
  <c r="B43" i="4"/>
  <c r="B14" i="4"/>
  <c r="B18" i="4"/>
  <c r="B23" i="4"/>
  <c r="B41" i="4"/>
  <c r="D6" i="4"/>
  <c r="O6" i="4" s="1"/>
  <c r="B39" i="4"/>
  <c r="B35" i="4"/>
  <c r="B50" i="4"/>
  <c r="B19" i="4"/>
  <c r="B8" i="4"/>
  <c r="B26" i="4"/>
  <c r="C6" i="4"/>
  <c r="N6" i="4" s="1"/>
  <c r="B62" i="4"/>
  <c r="B13" i="4"/>
  <c r="B69" i="4"/>
  <c r="B72" i="4"/>
  <c r="B59" i="4"/>
  <c r="B11" i="4"/>
  <c r="E6" i="4"/>
  <c r="P6" i="4" s="1"/>
  <c r="B47" i="4"/>
  <c r="B29" i="4"/>
  <c r="B55" i="4"/>
  <c r="B25" i="4"/>
  <c r="B30" i="4"/>
  <c r="C4" i="4"/>
  <c r="B7" i="4"/>
  <c r="B60" i="4"/>
  <c r="B45" i="4"/>
  <c r="B46" i="4"/>
  <c r="B51" i="4"/>
  <c r="B73" i="4"/>
  <c r="B24" i="4"/>
  <c r="B10" i="4"/>
  <c r="B27" i="4"/>
  <c r="B70" i="4"/>
  <c r="B67" i="4"/>
  <c r="B16" i="4"/>
  <c r="B63" i="4"/>
  <c r="B53" i="4"/>
  <c r="B58" i="4"/>
  <c r="B44" i="4"/>
  <c r="B12" i="4"/>
  <c r="B11" i="2"/>
  <c r="B13" i="2"/>
  <c r="B26" i="2"/>
  <c r="B55" i="2"/>
  <c r="B30" i="2"/>
  <c r="B59" i="2"/>
  <c r="B42" i="2"/>
  <c r="B53" i="2"/>
  <c r="B32" i="2"/>
  <c r="N4" i="2"/>
  <c r="E6" i="2"/>
  <c r="P6" i="2" s="1"/>
  <c r="B9" i="2"/>
  <c r="B12" i="2"/>
  <c r="B19" i="2"/>
  <c r="B39" i="2"/>
  <c r="B21" i="2"/>
  <c r="B54" i="2"/>
  <c r="B28" i="2"/>
  <c r="B61" i="2"/>
  <c r="B44" i="2"/>
  <c r="B23" i="2"/>
  <c r="D6" i="2"/>
  <c r="O6" i="2" s="1"/>
  <c r="C6" i="2"/>
  <c r="N6" i="2" s="1"/>
  <c r="B7" i="2"/>
  <c r="B17" i="2"/>
  <c r="B56" i="2"/>
  <c r="B52" i="2"/>
  <c r="B34" i="2"/>
  <c r="B41" i="2"/>
  <c r="B45" i="2"/>
  <c r="B24" i="2"/>
  <c r="B57" i="2"/>
  <c r="B36" i="2"/>
  <c r="C4" i="2"/>
  <c r="B2" i="2"/>
  <c r="B18" i="2"/>
  <c r="B22" i="2"/>
  <c r="B46" i="2"/>
  <c r="B25" i="2"/>
  <c r="B58" i="2"/>
  <c r="B38" i="2"/>
  <c r="B63" i="2"/>
  <c r="B50" i="2"/>
  <c r="B15" i="27"/>
  <c r="B7" i="27"/>
  <c r="B12" i="27"/>
  <c r="C10" i="27"/>
  <c r="C9" i="27"/>
  <c r="C6" i="5"/>
  <c r="N6" i="5" s="1"/>
  <c r="B19" i="5"/>
  <c r="B34" i="5"/>
  <c r="B47" i="5"/>
  <c r="B8" i="5"/>
  <c r="B29" i="5"/>
  <c r="B36" i="5"/>
  <c r="B23" i="5"/>
  <c r="B12" i="5"/>
  <c r="B30" i="5"/>
  <c r="B44" i="5"/>
  <c r="B2" i="5"/>
  <c r="D6" i="5"/>
  <c r="O6" i="5" s="1"/>
  <c r="B42" i="5"/>
  <c r="B20" i="5"/>
  <c r="B11" i="27"/>
  <c r="B8" i="27"/>
  <c r="B14" i="27"/>
  <c r="C7" i="27"/>
  <c r="C14" i="27"/>
  <c r="C11" i="27"/>
  <c r="B13" i="27"/>
  <c r="B9" i="27"/>
  <c r="B2" i="27"/>
  <c r="N4" i="5"/>
  <c r="B50" i="5"/>
  <c r="B24" i="5"/>
  <c r="B33" i="5"/>
  <c r="B39" i="5"/>
  <c r="B25" i="5"/>
  <c r="E6" i="5"/>
  <c r="P6" i="5" s="1"/>
  <c r="B17" i="5"/>
  <c r="B26" i="5"/>
  <c r="B14" i="5"/>
  <c r="B38" i="5"/>
  <c r="B16" i="5"/>
  <c r="B45" i="5"/>
  <c r="B40" i="5"/>
  <c r="B48" i="5"/>
  <c r="B10" i="5"/>
  <c r="B18" i="5"/>
  <c r="B28" i="5"/>
  <c r="L6" i="2" l="1"/>
  <c r="W6" i="2" s="1"/>
  <c r="L6" i="12"/>
  <c r="T6" i="12"/>
  <c r="W6" i="12" s="1"/>
  <c r="T6" i="5"/>
  <c r="S6" i="9"/>
  <c r="V6" i="9" s="1"/>
  <c r="L6" i="9"/>
  <c r="T6" i="9"/>
  <c r="W6" i="9" s="1"/>
  <c r="N15" i="9"/>
  <c r="O15" i="9"/>
  <c r="N63" i="2"/>
  <c r="O63" i="2"/>
  <c r="P63" i="2"/>
  <c r="P44" i="5"/>
  <c r="P47" i="5" s="1"/>
  <c r="P50" i="5" s="1"/>
  <c r="S6" i="12"/>
  <c r="V6" i="12" s="1"/>
  <c r="K6" i="12"/>
  <c r="N25" i="12"/>
  <c r="N26" i="12" s="1"/>
  <c r="O25" i="12"/>
  <c r="O26" i="12" s="1"/>
  <c r="P15" i="9"/>
  <c r="S6" i="4"/>
  <c r="K6" i="4"/>
  <c r="V6" i="4" s="1"/>
  <c r="S6" i="5"/>
  <c r="K6" i="5"/>
  <c r="V6" i="5" s="1"/>
  <c r="K6" i="2"/>
  <c r="V6" i="2" s="1"/>
  <c r="S6" i="2"/>
  <c r="O44" i="5"/>
  <c r="O47" i="5" s="1"/>
  <c r="O50" i="5" s="1"/>
  <c r="W2" i="2"/>
  <c r="M15" i="10"/>
  <c r="K31" i="8"/>
  <c r="N6" i="7"/>
  <c r="K62" i="8"/>
  <c r="K64" i="8" s="1"/>
  <c r="Q6" i="5"/>
  <c r="O32" i="2"/>
  <c r="N44" i="5"/>
  <c r="N47" i="5" s="1"/>
  <c r="N50" i="5" s="1"/>
  <c r="P21" i="12"/>
  <c r="M32" i="7"/>
  <c r="M6" i="7"/>
  <c r="L65" i="7"/>
  <c r="M6" i="6"/>
  <c r="M43" i="6"/>
  <c r="M46" i="6" s="1"/>
  <c r="M49" i="6" s="1"/>
  <c r="L43" i="6"/>
  <c r="L46" i="6" s="1"/>
  <c r="L49" i="6" s="1"/>
  <c r="D49" i="6"/>
  <c r="O69" i="4"/>
  <c r="P69" i="4"/>
  <c r="P32" i="2"/>
  <c r="N69" i="4"/>
  <c r="N32" i="2"/>
  <c r="C25" i="12"/>
  <c r="C26" i="12" s="1"/>
  <c r="K26" i="13"/>
  <c r="C21" i="13"/>
  <c r="D21" i="12"/>
  <c r="L15" i="10"/>
  <c r="E25" i="12"/>
  <c r="E26" i="12" s="1"/>
  <c r="W2" i="12"/>
  <c r="M2" i="19"/>
  <c r="W2" i="9"/>
  <c r="I2" i="23"/>
  <c r="S2" i="10"/>
  <c r="S2" i="7"/>
  <c r="Q2" i="13"/>
  <c r="Q2" i="8"/>
  <c r="W2" i="5"/>
  <c r="S2" i="6"/>
  <c r="W2" i="4"/>
  <c r="O21" i="12" l="1"/>
  <c r="P25" i="12"/>
  <c r="P26" i="12" s="1"/>
  <c r="M36" i="7"/>
  <c r="M55" i="7"/>
  <c r="D63" i="7"/>
  <c r="D65" i="7" s="1"/>
  <c r="D69" i="7" s="1"/>
  <c r="M69" i="7" l="1"/>
  <c r="M63" i="7"/>
  <c r="M65" i="7" s="1"/>
</calcChain>
</file>

<file path=xl/sharedStrings.xml><?xml version="1.0" encoding="utf-8"?>
<sst xmlns="http://schemas.openxmlformats.org/spreadsheetml/2006/main" count="1243" uniqueCount="780">
  <si>
    <t>ОТЧЕТ О ФИНАНСОВОМ ПОЛОЖЕНИИ</t>
  </si>
  <si>
    <t>Долгосрочные активы :</t>
  </si>
  <si>
    <t>Основные средства</t>
  </si>
  <si>
    <t>Предоплаты за долгосрочные активы</t>
  </si>
  <si>
    <t>Нематериальные активы</t>
  </si>
  <si>
    <t>Гудвил</t>
  </si>
  <si>
    <t>Кредиты выданные</t>
  </si>
  <si>
    <t>Отложенные налоговые активы</t>
  </si>
  <si>
    <t>Прочие инвестиции</t>
  </si>
  <si>
    <t>Итого долгосрочные активы</t>
  </si>
  <si>
    <t>Краткосрочные активы :</t>
  </si>
  <si>
    <t>Запасы</t>
  </si>
  <si>
    <t>Торговая и прочая дебиторская задолженность</t>
  </si>
  <si>
    <t>Предоплаты</t>
  </si>
  <si>
    <t>НДС к возмещению</t>
  </si>
  <si>
    <t>Активы по текущему налогу на прибыль</t>
  </si>
  <si>
    <t>Денежные средства и их эквиваленты</t>
  </si>
  <si>
    <t>Итого краткосрочные активы</t>
  </si>
  <si>
    <t>Уставный капитал</t>
  </si>
  <si>
    <t>Резерв переоценки</t>
  </si>
  <si>
    <t xml:space="preserve">Накопленный убыток </t>
  </si>
  <si>
    <t>Неконтролирующая доля</t>
  </si>
  <si>
    <t>Итого капитал</t>
  </si>
  <si>
    <t>Долгосрочные обязательства:</t>
  </si>
  <si>
    <t>Долгосрочные кредиты и займы</t>
  </si>
  <si>
    <t xml:space="preserve">Долгосрочные обязательства по финансовой аренде </t>
  </si>
  <si>
    <t>Доходы будущих периодов</t>
  </si>
  <si>
    <t>Отложенные налоговые обязательства</t>
  </si>
  <si>
    <t>Краткосрочные обязательства:</t>
  </si>
  <si>
    <t>Краткосрочные кредиты и займы</t>
  </si>
  <si>
    <t>Проценты начисленные</t>
  </si>
  <si>
    <t xml:space="preserve">Краткосрочные обязательства по финансовой аренде </t>
  </si>
  <si>
    <t>Торговая и прочая кредиторская задолженность</t>
  </si>
  <si>
    <t>Текущие обязательства по налогам на прибыль</t>
  </si>
  <si>
    <t>Прочие краткосрочные обязательства</t>
  </si>
  <si>
    <t>Итого обязательства</t>
  </si>
  <si>
    <t>ИТОГО АКТИВЫ</t>
  </si>
  <si>
    <t>АКТИВЫ</t>
  </si>
  <si>
    <t>КАПИТАЛ И ОБЯЗАТЕЛЬСТВА</t>
  </si>
  <si>
    <t>Итого долгосрочные обязательства</t>
  </si>
  <si>
    <t>Итого краткосрочные обязательства</t>
  </si>
  <si>
    <t>ИТОГО ОБЯЗАТЕЛЬСТВА И КАПИТАЛ</t>
  </si>
  <si>
    <t>тыс. BYN</t>
  </si>
  <si>
    <t>тыс. USD</t>
  </si>
  <si>
    <t>Денежные потоки от операционной деятельности</t>
  </si>
  <si>
    <t xml:space="preserve">Прибыль (убыток) за период </t>
  </si>
  <si>
    <t>Корректировки на:</t>
  </si>
  <si>
    <t>Расход (выгода) по налогу на прибыль</t>
  </si>
  <si>
    <t xml:space="preserve">Амортизация основных средств </t>
  </si>
  <si>
    <t>Амортизация нематериальных активов</t>
  </si>
  <si>
    <t>Доход по чистой монетарной позиции</t>
  </si>
  <si>
    <t>Результат от финансовой деятельности</t>
  </si>
  <si>
    <t>(Прибыль) убыток от выбытия основных средств</t>
  </si>
  <si>
    <t>Обесценение основных средств</t>
  </si>
  <si>
    <t>Денежные средства, полученные от операционной деятельности</t>
  </si>
  <si>
    <t>Налог на прибыль уплаченный</t>
  </si>
  <si>
    <t>Чистые денежные средства, полученные от операционной деятельности</t>
  </si>
  <si>
    <t>Денежные потоки от инвестиционной деятельности</t>
  </si>
  <si>
    <t>Поступления от реализации основных средств</t>
  </si>
  <si>
    <t>Приобретение основных средств</t>
  </si>
  <si>
    <t>Приобретение нематериальных активов</t>
  </si>
  <si>
    <t>Приобретение дочерних предприятий без приобретения контроля</t>
  </si>
  <si>
    <t>Поступления от реализации облигаций</t>
  </si>
  <si>
    <t>Выбывшие денежные средства от прекращенной деятельности</t>
  </si>
  <si>
    <t>Проценты по депозитам полученные</t>
  </si>
  <si>
    <t xml:space="preserve">Чистые ден.средства, использованные в инвестиционной деятельности </t>
  </si>
  <si>
    <t>FCF (Проспект и презентация)</t>
  </si>
  <si>
    <t>CAPEX (Проспект и презентация, без НДС)</t>
  </si>
  <si>
    <t>CAPEX % от выручки (слайд 24)</t>
  </si>
  <si>
    <t>Денежный поток от финансовой деятельности</t>
  </si>
  <si>
    <t>Выплата дивидендов</t>
  </si>
  <si>
    <t>Проценты по кредитам и займам уплаченным</t>
  </si>
  <si>
    <t>Погашение задолженности по финансовой аренде</t>
  </si>
  <si>
    <t>Погашение процентов по финансовой аренде</t>
  </si>
  <si>
    <t>Чистые денежные средства, использованные в финансовой деятельности</t>
  </si>
  <si>
    <t>Денежные средства и их эквиваленты на 1 января</t>
  </si>
  <si>
    <t>Эффект пересчета в валюту представления</t>
  </si>
  <si>
    <t>Эффект гиперинфляции</t>
  </si>
  <si>
    <t>ОТЧЕТ О ДВИЖЕНИИ ДЕНЕЖНЫХ СРЕДСТВ</t>
  </si>
  <si>
    <t>PROFIT &amp; LOSS STATEMENT</t>
  </si>
  <si>
    <t>Выручка, процентные и комиссионные доходы</t>
  </si>
  <si>
    <t>Себестоимость реализованных товаров и услуг</t>
  </si>
  <si>
    <t>Валовая прибыль</t>
  </si>
  <si>
    <t>Валовая прибыль, %</t>
  </si>
  <si>
    <t>Административные и расходы на реализацию</t>
  </si>
  <si>
    <t>Вознаграждения работникам</t>
  </si>
  <si>
    <t>% от выручки</t>
  </si>
  <si>
    <t>Отчисления в Фонд социальной защиты населения</t>
  </si>
  <si>
    <t>Арендная плата</t>
  </si>
  <si>
    <t>Коммунальные расходы</t>
  </si>
  <si>
    <t>Амортизация основных средств</t>
  </si>
  <si>
    <t>Прочие материалы и канцелярия</t>
  </si>
  <si>
    <t>Ремонт и техническое обслуживание</t>
  </si>
  <si>
    <t>Маркетинговые расходы и расходы на рекламу</t>
  </si>
  <si>
    <t>Профессиональные услуги</t>
  </si>
  <si>
    <t>Налоги, кроме налога на прибыль</t>
  </si>
  <si>
    <t>Прочие расходы</t>
  </si>
  <si>
    <t>Прочие доходы</t>
  </si>
  <si>
    <t>Операционная прибыль</t>
  </si>
  <si>
    <t xml:space="preserve">Финансовые расходы </t>
  </si>
  <si>
    <t>Финансовые доходы</t>
  </si>
  <si>
    <t>Чистые финансовые расходы</t>
  </si>
  <si>
    <t>Прибыль от чистой немонетарной позиции</t>
  </si>
  <si>
    <t>Прибыль (убыток) до налогообложения</t>
  </si>
  <si>
    <t>Выгода (расход) по налогу на прибыль</t>
  </si>
  <si>
    <t>Прибыль (убыток) от продолжающейся деятельности</t>
  </si>
  <si>
    <t>Убыток от прекращенной деятельности с учетом налога</t>
  </si>
  <si>
    <t>Прибыль (убыток) за период</t>
  </si>
  <si>
    <t xml:space="preserve">Прочие </t>
  </si>
  <si>
    <t>Изменение в резерве под обесценение дебиторской задолженности</t>
  </si>
  <si>
    <t>1П 2016</t>
  </si>
  <si>
    <t>1П 2017</t>
  </si>
  <si>
    <t>H1 2016</t>
  </si>
  <si>
    <t>H1 2017</t>
  </si>
  <si>
    <t>ГОДОВОЙ</t>
  </si>
  <si>
    <t>ПОЛУГОДОВОЙ</t>
  </si>
  <si>
    <t>Gross profit</t>
  </si>
  <si>
    <t xml:space="preserve">Employee benefits </t>
  </si>
  <si>
    <t>Social security contribution</t>
  </si>
  <si>
    <t>Rent</t>
  </si>
  <si>
    <t>Utility costs</t>
  </si>
  <si>
    <t>Repair and maintenance</t>
  </si>
  <si>
    <t>Professional services</t>
  </si>
  <si>
    <t>Taxes other than income tax</t>
  </si>
  <si>
    <t>Marketing and advertising</t>
  </si>
  <si>
    <t>Other expenses</t>
  </si>
  <si>
    <t>Other income</t>
  </si>
  <si>
    <t>Operating profit</t>
  </si>
  <si>
    <t>Finance costs</t>
  </si>
  <si>
    <t>Finance income</t>
  </si>
  <si>
    <t>Net finance costs</t>
  </si>
  <si>
    <t>Gain on net monetary position</t>
  </si>
  <si>
    <t>Profit (loss) before income tax</t>
  </si>
  <si>
    <t>Income tax benefit (expense)</t>
  </si>
  <si>
    <t>Profit (loss) from continuing operations</t>
  </si>
  <si>
    <t>Profit from discontinued operation, net of tax</t>
  </si>
  <si>
    <t>Profit (loss) for the period</t>
  </si>
  <si>
    <t>ОТЧЕТ О ПРИБЫЛЯХ И УБЫТКАХ</t>
  </si>
  <si>
    <t>Revenue, interest and commission income</t>
  </si>
  <si>
    <t>Cost of goods and services sold and interest expenses</t>
  </si>
  <si>
    <t>Administrative and selling expenses</t>
  </si>
  <si>
    <t>Other materials and stationary</t>
  </si>
  <si>
    <t>Impairment of property and equipment</t>
  </si>
  <si>
    <t>Изменение резерва под обесценение торговой и прочей дебиторской задолженности</t>
  </si>
  <si>
    <t>STATEMENT OF FINANCIAL POSITION</t>
  </si>
  <si>
    <t>ASSETS</t>
  </si>
  <si>
    <t>Property, plant and equipment</t>
  </si>
  <si>
    <t>Prepayments for non-current assets</t>
  </si>
  <si>
    <t>Intangible assets</t>
  </si>
  <si>
    <t>Goodwill</t>
  </si>
  <si>
    <t>Loans granted</t>
  </si>
  <si>
    <t>Deferred tax assets</t>
  </si>
  <si>
    <t>Total non-current assets</t>
  </si>
  <si>
    <t>Inventories</t>
  </si>
  <si>
    <t>Trade and other receivables</t>
  </si>
  <si>
    <t>Prepayments</t>
  </si>
  <si>
    <t>VAT recoverable</t>
  </si>
  <si>
    <t>Current income tax asset</t>
  </si>
  <si>
    <t>Cash and cash equivalents</t>
  </si>
  <si>
    <t>Total current assets</t>
  </si>
  <si>
    <t>TOTAL ASSETS</t>
  </si>
  <si>
    <t>EQUITY &amp; LIABILITIES</t>
  </si>
  <si>
    <t>Share capital</t>
  </si>
  <si>
    <t>Revaluation reserve</t>
  </si>
  <si>
    <t>Retained earnings</t>
  </si>
  <si>
    <t>Non-controlling interest</t>
  </si>
  <si>
    <t>TOTAL EQUITY</t>
  </si>
  <si>
    <t>Non-current liabilities:</t>
  </si>
  <si>
    <t>Long-term loans and borrowings</t>
  </si>
  <si>
    <t>Deferred income</t>
  </si>
  <si>
    <t>Deferred tax liabilities</t>
  </si>
  <si>
    <t>Current liabilities:</t>
  </si>
  <si>
    <t>Short-term loans and borrowings</t>
  </si>
  <si>
    <t xml:space="preserve">Short-term liabilities under finance lease </t>
  </si>
  <si>
    <t>Trade and other accounts payable</t>
  </si>
  <si>
    <t>Current income tax liabilities</t>
  </si>
  <si>
    <t>Other current liabilities</t>
  </si>
  <si>
    <t>TOTAL LIABILITIES</t>
  </si>
  <si>
    <t>TOTAL EQUITY &amp; LIABILITIES</t>
  </si>
  <si>
    <t>Long-term liabilities under finance lease</t>
  </si>
  <si>
    <t>Total non-current liabilities</t>
  </si>
  <si>
    <t>Total current liabilities</t>
  </si>
  <si>
    <t>Other investments</t>
  </si>
  <si>
    <t>Accrued interests</t>
  </si>
  <si>
    <t>STATEMENT OF CASH FLOWS</t>
  </si>
  <si>
    <t>Cash flows from operating activities</t>
  </si>
  <si>
    <t>Adjustments for:</t>
  </si>
  <si>
    <t>Income tax expenses (benefit)</t>
  </si>
  <si>
    <t>Depreciation of property and equipment</t>
  </si>
  <si>
    <t>Amortization of intangible assets</t>
  </si>
  <si>
    <t>Profit (loss) on disposal of property, plant and equipment</t>
  </si>
  <si>
    <t>Changes in:</t>
  </si>
  <si>
    <t>Cash generated from operating activities</t>
  </si>
  <si>
    <t>Income tax paid</t>
  </si>
  <si>
    <t>Net cash from operating activities</t>
  </si>
  <si>
    <t>Cash flows from investing activities</t>
  </si>
  <si>
    <t>Proceeds from sale of property, plant and equipment</t>
  </si>
  <si>
    <t>Acquisition of property, plant and equipment</t>
  </si>
  <si>
    <t>Acquisition of intangible assets</t>
  </si>
  <si>
    <t>Disposed cash from discontinued operations</t>
  </si>
  <si>
    <t>Deposits interest received</t>
  </si>
  <si>
    <t>Net cash used in investing activities</t>
  </si>
  <si>
    <t>Dividends paid</t>
  </si>
  <si>
    <t>Interest paid on loans and borrowings</t>
  </si>
  <si>
    <t>Cash from financing activities</t>
  </si>
  <si>
    <t>Net cash from financing activities</t>
  </si>
  <si>
    <t>Cash and cash equivalents (bop)</t>
  </si>
  <si>
    <t>Effect of foreign currency translation</t>
  </si>
  <si>
    <t>Effect of hyperinflation</t>
  </si>
  <si>
    <t>Cash and cash equivalents (eop)</t>
  </si>
  <si>
    <t>Change in allowances for impairment of trade and other receivables</t>
  </si>
  <si>
    <t>Trade and other payables</t>
  </si>
  <si>
    <t>Acquisition of subsidiaries with non-controlling interest</t>
  </si>
  <si>
    <t>Loans and borrowings received</t>
  </si>
  <si>
    <t>Loans and borrowings repaid</t>
  </si>
  <si>
    <t>Repayment of debt under financial leases</t>
  </si>
  <si>
    <t>Lessor's renumeration on financial leases</t>
  </si>
  <si>
    <t>Impairment of property, plant and equipment</t>
  </si>
  <si>
    <t>Proceeds from sale of bonds</t>
  </si>
  <si>
    <t>Change in receivables' impairment allowance</t>
  </si>
  <si>
    <t>Займы и кредиты полученные</t>
  </si>
  <si>
    <t>Займы и кредиты погашенные</t>
  </si>
  <si>
    <t>EBITDA</t>
  </si>
  <si>
    <t>Амортизация (СF)</t>
  </si>
  <si>
    <t>EBITDA margin, %</t>
  </si>
  <si>
    <t>EBITDAR</t>
  </si>
  <si>
    <t>EBITDAR margin, %</t>
  </si>
  <si>
    <t>D&amp;A (CF)</t>
  </si>
  <si>
    <t>EBITDA маржа, %</t>
  </si>
  <si>
    <t>EBITDAR маржа, %</t>
  </si>
  <si>
    <t>Арендная плата (P&amp;L)</t>
  </si>
  <si>
    <t>Rent (P&amp;L)</t>
  </si>
  <si>
    <t>DEBT BURDEN</t>
  </si>
  <si>
    <t>ДОЛГОВАЯ НАГРУЗКА</t>
  </si>
  <si>
    <t>Долгосрочный долг</t>
  </si>
  <si>
    <t>Краткосрочный долг</t>
  </si>
  <si>
    <t>Долг</t>
  </si>
  <si>
    <t>Долг/EBITDA</t>
  </si>
  <si>
    <t>Чистый долг</t>
  </si>
  <si>
    <t>Чистый долг/EBITDA</t>
  </si>
  <si>
    <t>Проценты</t>
  </si>
  <si>
    <t>EBITDA/Проценты</t>
  </si>
  <si>
    <t>Debt</t>
  </si>
  <si>
    <t>Debt/EBITDA</t>
  </si>
  <si>
    <t>Net debt</t>
  </si>
  <si>
    <t>Net debt/EBITDA</t>
  </si>
  <si>
    <t>Interest expenses</t>
  </si>
  <si>
    <t>EBITDA/Interest expenses</t>
  </si>
  <si>
    <t>Current debt</t>
  </si>
  <si>
    <t>Non-current debt</t>
  </si>
  <si>
    <t>1П 2017 LTM</t>
  </si>
  <si>
    <t>H1 2017 LTM</t>
  </si>
  <si>
    <t>Источник: Национальный статистический комитет, Национальный банк Республики Беларусь</t>
  </si>
  <si>
    <t>Source: National Statistical Committee, National Bank of the Republic of Belarus</t>
  </si>
  <si>
    <t>БЕЛАРУСЬ. МАКРОЭКОНОМИЧЕСКИЕ ПОКАЗАТЕЛИ (ГОДОВЫЕ)</t>
  </si>
  <si>
    <t>BELARUS. MACROECONOMIC INDICATORS (YEAR BASIS)</t>
  </si>
  <si>
    <t>Показатель</t>
  </si>
  <si>
    <t>Ед. изм.</t>
  </si>
  <si>
    <t>Indicator</t>
  </si>
  <si>
    <t>Unit</t>
  </si>
  <si>
    <t>Номинальный ВВП</t>
  </si>
  <si>
    <t>млн BYN</t>
  </si>
  <si>
    <t>Nominal GDP</t>
  </si>
  <si>
    <t>BYN mn</t>
  </si>
  <si>
    <t>млн USD</t>
  </si>
  <si>
    <t>USD mn</t>
  </si>
  <si>
    <t>ВВП на душу населения</t>
  </si>
  <si>
    <t>USD в год</t>
  </si>
  <si>
    <t>Nominal GDP per capita</t>
  </si>
  <si>
    <t>USD per annum</t>
  </si>
  <si>
    <t>Темп роста реального ВВП</t>
  </si>
  <si>
    <t>%</t>
  </si>
  <si>
    <t>Real GDP growth rate</t>
  </si>
  <si>
    <t>Индекс промышленного производства, год-к-году</t>
  </si>
  <si>
    <t>Industrial production index, y-o-y</t>
  </si>
  <si>
    <t>Курс BYN/USD, на конец периода</t>
  </si>
  <si>
    <t>-</t>
  </si>
  <si>
    <t>USD/BYN exchange rate, e-o-p</t>
  </si>
  <si>
    <t>Курс BYN/USD, средний в периоде</t>
  </si>
  <si>
    <t>USD/BYN exchange rate, average</t>
  </si>
  <si>
    <t>Индекс потребительских цен, год-к-году</t>
  </si>
  <si>
    <t>Consumer price index, y-o-y</t>
  </si>
  <si>
    <t>Food price index, y-o-y</t>
  </si>
  <si>
    <t>Численность населения, на конец периода</t>
  </si>
  <si>
    <t>тыс. чел</t>
  </si>
  <si>
    <t>Population, e-o-p</t>
  </si>
  <si>
    <t>% городского населения</t>
  </si>
  <si>
    <t>% of urban population</t>
  </si>
  <si>
    <t>Уровень безработицы, на конец периода</t>
  </si>
  <si>
    <t>Unemployment rate, e-o-p</t>
  </si>
  <si>
    <t>Денежные доходы населения</t>
  </si>
  <si>
    <t>Disposable cash incomes of households</t>
  </si>
  <si>
    <t>Темп роста реальных располагаемых денежных доходов населения, год-к-году</t>
  </si>
  <si>
    <t>Real disposable cash incomes of households growth rate, y-o-y</t>
  </si>
  <si>
    <t xml:space="preserve">Среднемесячная заработная плата </t>
  </si>
  <si>
    <t>BYN</t>
  </si>
  <si>
    <t>Nominal average monthly wage</t>
  </si>
  <si>
    <t>Темп роста реальной среднемесячной заработной платы, год-к-году</t>
  </si>
  <si>
    <t>Real wage growth rate, y-o-y</t>
  </si>
  <si>
    <t>Располагаемые ресурсы, в месяц на домохозяйство</t>
  </si>
  <si>
    <t xml:space="preserve">BYN </t>
  </si>
  <si>
    <t>Disposable income, per month per household</t>
  </si>
  <si>
    <t>в том числе денежные средства, в месяц на домохозяйство</t>
  </si>
  <si>
    <t>including disposable cash income, per month per household</t>
  </si>
  <si>
    <t>Потребительские расходы, в месяц на домохозяйство</t>
  </si>
  <si>
    <t>Consumer expenses, per month per household</t>
  </si>
  <si>
    <t>доля располагаемых денежных средств, затраченных на потребительские расходы</t>
  </si>
  <si>
    <t>share of disposable cash spent on consumer expenses</t>
  </si>
  <si>
    <t>доля расходов на питание (вкл. алкоголь и табак)</t>
  </si>
  <si>
    <t>share of food (incl. alcohol and tobacco) in consumer expenses</t>
  </si>
  <si>
    <t>Retail turnover</t>
  </si>
  <si>
    <t>Продовольственный РТО</t>
  </si>
  <si>
    <t>Food retail turnover</t>
  </si>
  <si>
    <t>Доля продовольственного РТО в совокупном РТО</t>
  </si>
  <si>
    <t>Share of food (incl. alcohol and tobacco) in total retail turnover</t>
  </si>
  <si>
    <t>БЕЛАРУСЬ. МАКРОЭКОНОМИЧЕСКИЕ ПОКАЗАТЕЛИ (КВАРТАЛЬНЫЕ)</t>
  </si>
  <si>
    <t>BELARUS. MACROECONOMIC INDICATORS (QUARTER BASIS)</t>
  </si>
  <si>
    <t>1кв 2016</t>
  </si>
  <si>
    <t>2кв 2016</t>
  </si>
  <si>
    <t>3кв 2016</t>
  </si>
  <si>
    <t>4кв 2016</t>
  </si>
  <si>
    <t>1кв 2017</t>
  </si>
  <si>
    <t>2кв 2017</t>
  </si>
  <si>
    <t>3кв 2017</t>
  </si>
  <si>
    <t>Q1 2016</t>
  </si>
  <si>
    <t>Q2 2016</t>
  </si>
  <si>
    <t>Q3 2016</t>
  </si>
  <si>
    <t>Q4 2016</t>
  </si>
  <si>
    <t>Q1 2017</t>
  </si>
  <si>
    <t>Q2 2017</t>
  </si>
  <si>
    <t>Q3 2017</t>
  </si>
  <si>
    <t>USD в квартал</t>
  </si>
  <si>
    <t>USD per quarter</t>
  </si>
  <si>
    <t>Темп роста реального ВВП, накопительным итогом с начала года, год-к-году</t>
  </si>
  <si>
    <t>Real GDP growth rate, cumulative from the year beginning, y-o-y</t>
  </si>
  <si>
    <t>Индекс потребительских цен, в последнем месяце квартала, год-к-году</t>
  </si>
  <si>
    <t>Consumer price index, in the last month of the quarter, y-o-y</t>
  </si>
  <si>
    <t>Food price index, in the last month of the quarter, y-o-y</t>
  </si>
  <si>
    <t>Темп роста реальных располагаемых денежных доходов населения, накопительным итогом с начала года, год-к-году</t>
  </si>
  <si>
    <t>Real disposable cash incomes of households growth rate, cumulative from the year beginning, y-o-y</t>
  </si>
  <si>
    <r>
      <t>Real wage</t>
    </r>
    <r>
      <rPr>
        <sz val="9"/>
        <color indexed="8"/>
        <rFont val="Calibri"/>
        <family val="2"/>
        <charset val="204"/>
      </rPr>
      <t xml:space="preserve"> growth rate, y-o-y</t>
    </r>
  </si>
  <si>
    <t>Доля расходов на питание (вкл. алкоголь и табак) в потребительских расходах</t>
  </si>
  <si>
    <t>Share of food (incl. alcohol and tobacco) in consumer expenses</t>
  </si>
  <si>
    <t>USD 350,000,000 8.750% Loan Participation Notes due 2022</t>
  </si>
  <si>
    <r>
      <t>Проспект эмиссии доступен</t>
    </r>
    <r>
      <rPr>
        <sz val="11"/>
        <color indexed="8"/>
        <rFont val="Calibri"/>
        <family val="2"/>
        <charset val="204"/>
      </rPr>
      <t xml:space="preserve"> </t>
    </r>
    <r>
      <rPr>
        <u/>
        <sz val="11"/>
        <color indexed="8"/>
        <rFont val="Calibri"/>
        <family val="2"/>
        <charset val="204"/>
      </rPr>
      <t>по ссылке ниже.</t>
    </r>
  </si>
  <si>
    <r>
      <t xml:space="preserve">Listing Particulars are available </t>
    </r>
    <r>
      <rPr>
        <u/>
        <sz val="11"/>
        <color indexed="8"/>
        <rFont val="Calibri"/>
        <family val="2"/>
        <charset val="204"/>
      </rPr>
      <t>on the link below.</t>
    </r>
  </si>
  <si>
    <t>Параметр выпуска</t>
  </si>
  <si>
    <t>Описание</t>
  </si>
  <si>
    <t>Issue metric</t>
  </si>
  <si>
    <t>Description</t>
  </si>
  <si>
    <t>Эмитент:</t>
  </si>
  <si>
    <t>Bonitron D.A.C.</t>
  </si>
  <si>
    <t>Issuer:</t>
  </si>
  <si>
    <t>Заемщик:</t>
  </si>
  <si>
    <t>Borrower:</t>
  </si>
  <si>
    <t>Eurotorg LLC</t>
  </si>
  <si>
    <t>Структура выпуска:</t>
  </si>
  <si>
    <t>Loan Participation Note</t>
  </si>
  <si>
    <t>Issue Structure:</t>
  </si>
  <si>
    <t>Размер выпуска:</t>
  </si>
  <si>
    <t>Issue Size:</t>
  </si>
  <si>
    <t>USD 350,000,000</t>
  </si>
  <si>
    <t>Дата размещения:</t>
  </si>
  <si>
    <t>30 октября 2017</t>
  </si>
  <si>
    <t>Settlement/Issue Date:</t>
  </si>
  <si>
    <t>Срок погашения:</t>
  </si>
  <si>
    <t>30 октября 2022</t>
  </si>
  <si>
    <t>Final Maturity Date:</t>
  </si>
  <si>
    <t>Ставка купона:</t>
  </si>
  <si>
    <t>8.750%</t>
  </si>
  <si>
    <t>Coupon:</t>
  </si>
  <si>
    <t>Выплата купонного дохода:</t>
  </si>
  <si>
    <t>1 раз в полгода 
30 апреля и 30 октября ежегодно, начиная с 30 апреля 2018</t>
  </si>
  <si>
    <t>Interest Payment Dates:</t>
  </si>
  <si>
    <t>График погашения:</t>
  </si>
  <si>
    <t>30 апреля 2021</t>
  </si>
  <si>
    <t>Amortization:</t>
  </si>
  <si>
    <t>USD 50,000,000</t>
  </si>
  <si>
    <t>30 октября 2021</t>
  </si>
  <si>
    <t>30 апреля 2022</t>
  </si>
  <si>
    <t>USD 125,000,000</t>
  </si>
  <si>
    <t>Рейтинги:</t>
  </si>
  <si>
    <t>Fitch: "В-"</t>
  </si>
  <si>
    <t>Ratings:</t>
  </si>
  <si>
    <t>Standard &amp; Poor’s: "В-"</t>
  </si>
  <si>
    <t>Листинг:</t>
  </si>
  <si>
    <t>Irish Stock Exchange Global Exchange Market</t>
  </si>
  <si>
    <t>Listing:</t>
  </si>
  <si>
    <t>Тип размещения:</t>
  </si>
  <si>
    <t>Rule 144A / Regulation S</t>
  </si>
  <si>
    <t>Distribution:</t>
  </si>
  <si>
    <t xml:space="preserve">Код ценной бумаги:
</t>
  </si>
  <si>
    <t xml:space="preserve">Regulation S </t>
  </si>
  <si>
    <t>Security Codes:</t>
  </si>
  <si>
    <t xml:space="preserve">  Common Code:157795201 </t>
  </si>
  <si>
    <t xml:space="preserve">  ISIN: XS1577952010 </t>
  </si>
  <si>
    <t xml:space="preserve">Rule 144A </t>
  </si>
  <si>
    <t xml:space="preserve">  Common Code:111731152 </t>
  </si>
  <si>
    <t xml:space="preserve">  ISIN: US09821LAA98 </t>
  </si>
  <si>
    <t xml:space="preserve">  CUSIP: 09821LAA9 </t>
  </si>
  <si>
    <t>Глобальные координаторы и организаторы выпуска:</t>
  </si>
  <si>
    <t>J.P. Morgan Securities plc и SIB (Кипр) Limited</t>
  </si>
  <si>
    <t>Joint Global Coordinators and Joint Bookrunners:</t>
  </si>
  <si>
    <t>J.P. Morgan Securities plc and SIB (Cyprus) Limited</t>
  </si>
  <si>
    <t>Организатор выпуска:</t>
  </si>
  <si>
    <t>Renaissance Securities (Кипр) Limited</t>
  </si>
  <si>
    <t>Joint Bookrunner:</t>
  </si>
  <si>
    <t>Renaissance Securities (Cyprus) Limited</t>
  </si>
  <si>
    <t>Трасти:</t>
  </si>
  <si>
    <t>BNY Mellon Corporate Trustee Services Limited</t>
  </si>
  <si>
    <t>Trustee:</t>
  </si>
  <si>
    <t>Платежный агент:</t>
  </si>
  <si>
    <t>The Bank of New York Mellon, Лондон</t>
  </si>
  <si>
    <t>Principal Paying and Transfer Agent:</t>
  </si>
  <si>
    <t>The Bank of New York Mellon, London Branch</t>
  </si>
  <si>
    <t>Регистратор и трансфертный агент:</t>
  </si>
  <si>
    <t>The Bank of New York Mellon, SA/NV, Люксембург</t>
  </si>
  <si>
    <t>Registrar and Transfer Agent:</t>
  </si>
  <si>
    <t>The Bank of New York Mellon, SA/NV, Luxembourg Branch</t>
  </si>
  <si>
    <t>Платежный и трансфертный агент в США:</t>
  </si>
  <si>
    <t>The Bank of New York Mellon, Нью-Йорк</t>
  </si>
  <si>
    <t>U.S. Paying Agent and Transfer Agent:</t>
  </si>
  <si>
    <t>The Bank of New York Mellon, New York Branch</t>
  </si>
  <si>
    <t>ФИНАНСОВЫЕ И ОПЕРАЦИОННЫЕ МЕТРИКИ</t>
  </si>
  <si>
    <t>FINANCIAL AND OPERATING METRICS</t>
  </si>
  <si>
    <t>KEY FINANCIALS (LTM)</t>
  </si>
  <si>
    <t>Выручка</t>
  </si>
  <si>
    <t>Revenue</t>
  </si>
  <si>
    <t>Gross Profit</t>
  </si>
  <si>
    <t>EBITDAR маржа</t>
  </si>
  <si>
    <t>EBITDAR margin</t>
  </si>
  <si>
    <t>EBITDA маржа</t>
  </si>
  <si>
    <t>EBITDA margin</t>
  </si>
  <si>
    <t>EBIT</t>
  </si>
  <si>
    <t>EBIT маржа</t>
  </si>
  <si>
    <t>EBIT margin</t>
  </si>
  <si>
    <t>Net Debt</t>
  </si>
  <si>
    <t>раз</t>
  </si>
  <si>
    <t>times</t>
  </si>
  <si>
    <t>КЛЮЧЕВЫЕ ОПЕРАЦИОННЫЕ МЕТРИКИ</t>
  </si>
  <si>
    <t>KEY OPEPATING METRICS</t>
  </si>
  <si>
    <t>LFL</t>
  </si>
  <si>
    <t>Темп роста LFL продаж</t>
  </si>
  <si>
    <t>LFL Sales growth rates</t>
  </si>
  <si>
    <t>ОПЕРАЦИОННЫЕ РЕЗУЛЬТАТЫ</t>
  </si>
  <si>
    <t>OPERATING HIGHLIGHTS</t>
  </si>
  <si>
    <t>Количество населенных пунктов, на конец  периода</t>
  </si>
  <si>
    <t>ед.</t>
  </si>
  <si>
    <t>Количество сотрудников, на конец периода</t>
  </si>
  <si>
    <t>тыс. чел.</t>
  </si>
  <si>
    <t>Number of employees, e-o-p</t>
  </si>
  <si>
    <t>КРЕДИТНЫЕ РЕЙТИНГИ</t>
  </si>
  <si>
    <t>CREDIT RATINGS</t>
  </si>
  <si>
    <t>Рейтинговое агентство</t>
  </si>
  <si>
    <t>Тип рейтинга</t>
  </si>
  <si>
    <t>Рейтинг</t>
  </si>
  <si>
    <t>Прогноз</t>
  </si>
  <si>
    <t>Дата</t>
  </si>
  <si>
    <t>Fitch Ratings</t>
  </si>
  <si>
    <t>Долгосрочный рейтинг дефолта эмитента</t>
  </si>
  <si>
    <t>В-</t>
  </si>
  <si>
    <t>Стабильный</t>
  </si>
  <si>
    <t>Standard &amp; Poor's</t>
  </si>
  <si>
    <t>Корпоративный кредитный рейтинг</t>
  </si>
  <si>
    <t>Rating agency</t>
  </si>
  <si>
    <t>Rating description</t>
  </si>
  <si>
    <t>Rating</t>
  </si>
  <si>
    <t>Outlook</t>
  </si>
  <si>
    <t>Date</t>
  </si>
  <si>
    <t xml:space="preserve">Long-Term Issuer Default Rating </t>
  </si>
  <si>
    <t>Stable</t>
  </si>
  <si>
    <t>Corporate Credit Rating</t>
  </si>
  <si>
    <t>Financial Statements</t>
  </si>
  <si>
    <t>FY</t>
  </si>
  <si>
    <t>Statement of Financial Position</t>
  </si>
  <si>
    <t>Statement of Cash Flows</t>
  </si>
  <si>
    <t>Profit &amp; Loss Statement</t>
  </si>
  <si>
    <t>Key financial and operating metrics</t>
  </si>
  <si>
    <t>Financial Highlights</t>
  </si>
  <si>
    <t>Operating Highlights</t>
  </si>
  <si>
    <t>EBITDA (FY)</t>
  </si>
  <si>
    <t>Debt burden (FY)</t>
  </si>
  <si>
    <t>Macroeconomics</t>
  </si>
  <si>
    <t>Key indicators (FY)</t>
  </si>
  <si>
    <t>Key indicators (Q)</t>
  </si>
  <si>
    <t>Eurobonds</t>
  </si>
  <si>
    <t>Local Bonds</t>
  </si>
  <si>
    <t>Bonds &amp; Ratings</t>
  </si>
  <si>
    <t>Ratings</t>
  </si>
  <si>
    <t>Финансовая отчетность</t>
  </si>
  <si>
    <t>Годовая</t>
  </si>
  <si>
    <t>Полугодовая</t>
  </si>
  <si>
    <t>Отчет о прибылях и убытках</t>
  </si>
  <si>
    <t>Отчет о финансовом положении</t>
  </si>
  <si>
    <t>Отчет о движении денежных средств</t>
  </si>
  <si>
    <t>Ключевые финансовые и операционные показатели</t>
  </si>
  <si>
    <t>Финансовые показатели</t>
  </si>
  <si>
    <t>Операционные показатели</t>
  </si>
  <si>
    <t>EBITDA (по итогам года)</t>
  </si>
  <si>
    <t>EBITDA (по итогам полугодия)</t>
  </si>
  <si>
    <t>Долговая нагрузка (по итогам года)</t>
  </si>
  <si>
    <t>Долговая нагрузка (по итогам полугодия)</t>
  </si>
  <si>
    <t>Макроэкономика</t>
  </si>
  <si>
    <t>Ключевые показатели (квартальные)</t>
  </si>
  <si>
    <t>Ключевые показатели (годовые)</t>
  </si>
  <si>
    <t>Облигации и рейтинги</t>
  </si>
  <si>
    <t>Еврооблигации</t>
  </si>
  <si>
    <t>Облигации на локальном рынке</t>
  </si>
  <si>
    <t>Рейтинги</t>
  </si>
  <si>
    <t>СОДЕРЖАНИЕ</t>
  </si>
  <si>
    <t>CONTENTS</t>
  </si>
  <si>
    <t>Equity attributable to owners of the Company</t>
  </si>
  <si>
    <t>Капитал, относимый на собственников Компании</t>
  </si>
  <si>
    <t>Денежные средства и их эквиваленты на конец периода</t>
  </si>
  <si>
    <t>Совокупный розничный товарооборот (РТО)</t>
  </si>
  <si>
    <t>Количество магазинов, на конец периода</t>
  </si>
  <si>
    <t>аренда</t>
  </si>
  <si>
    <t>собственность</t>
  </si>
  <si>
    <t>кв.м.</t>
  </si>
  <si>
    <t>Торговая площадь в разрезе областей, на конец периода:</t>
  </si>
  <si>
    <t>Брестская область</t>
  </si>
  <si>
    <t>Витебская область</t>
  </si>
  <si>
    <t>Гомельская область</t>
  </si>
  <si>
    <t>Гродненская область</t>
  </si>
  <si>
    <t>г. Минск</t>
  </si>
  <si>
    <t>Минская область</t>
  </si>
  <si>
    <t>Могилевская область</t>
  </si>
  <si>
    <t>Количество активных карт лояльности (1)</t>
  </si>
  <si>
    <t>млн шт.</t>
  </si>
  <si>
    <t>leased</t>
  </si>
  <si>
    <t>owned</t>
  </si>
  <si>
    <t>Average sales area of a store, e-o-p</t>
  </si>
  <si>
    <t>sqm</t>
  </si>
  <si>
    <t>Sales area by region, e-o-p:</t>
  </si>
  <si>
    <t>Brest region</t>
  </si>
  <si>
    <t>Vitebsk region</t>
  </si>
  <si>
    <t>Gomel region</t>
  </si>
  <si>
    <t>Grodno region</t>
  </si>
  <si>
    <t>Minsk</t>
  </si>
  <si>
    <t>Minsk region</t>
  </si>
  <si>
    <t>Mogilev region</t>
  </si>
  <si>
    <t>Number of active loyalty cards (1)</t>
  </si>
  <si>
    <t>mn</t>
  </si>
  <si>
    <t>1) Активная карта - карта, с использованием которой была совершена хотя бы 1 покупка в месяце, на конец которого производится расчет.</t>
  </si>
  <si>
    <t>1) Active card is a card used at least for 1 purchase in a month at the end of which the calculation is made.</t>
  </si>
  <si>
    <t>2) Выручка за последние 12 месяцев.</t>
  </si>
  <si>
    <t>Индекс потребительских цен на продовольственные товары, год-к-году</t>
  </si>
  <si>
    <t>Индекс потребительских цен на продовольственные товары, в последнем месяце квартала, год-к-году</t>
  </si>
  <si>
    <t>BYN ths</t>
  </si>
  <si>
    <t>USD ths</t>
  </si>
  <si>
    <t>ths</t>
  </si>
  <si>
    <t>ths sqm</t>
  </si>
  <si>
    <t>Semi-annually in arrears on 30 April and 30 October of each year commencing 30 April 2018</t>
  </si>
  <si>
    <t>30 October 2017</t>
  </si>
  <si>
    <t>30 October 2022</t>
  </si>
  <si>
    <t>30 April 2021</t>
  </si>
  <si>
    <t>30 October 2021</t>
  </si>
  <si>
    <t>30 April 2022</t>
  </si>
  <si>
    <t>4кв 2017</t>
  </si>
  <si>
    <t>Q4 2017</t>
  </si>
  <si>
    <t>Other non-current liabilities</t>
  </si>
  <si>
    <t>Прочие долгосрочные обязательства</t>
  </si>
  <si>
    <t>Активы для продажи</t>
  </si>
  <si>
    <t>Assets held for sale</t>
  </si>
  <si>
    <t>Gross margin</t>
  </si>
  <si>
    <t>Валовая маржа</t>
  </si>
  <si>
    <t xml:space="preserve">350 000 000 USD </t>
  </si>
  <si>
    <t xml:space="preserve">50 000 000 USD </t>
  </si>
  <si>
    <t>50 000 000 USD</t>
  </si>
  <si>
    <t>125 000 000 USD</t>
  </si>
  <si>
    <t xml:space="preserve">125 000 000 USD </t>
  </si>
  <si>
    <t>Чистый приток денежных средств и их эквивалентов</t>
  </si>
  <si>
    <t>Net increase in cash and cash equivalents</t>
  </si>
  <si>
    <t>ООО «Евроторг»</t>
  </si>
  <si>
    <t>Fitch: «В-»</t>
  </si>
  <si>
    <t>Standard &amp; Poor’s: «В-»</t>
  </si>
  <si>
    <t>ЕВРОБОЛИГАЦИИ. СРОК ПОГАШЕНИЯ: 2022. СТАВКА КУПОНА: 8,75%</t>
  </si>
  <si>
    <t>Number of cities and towns within Company’s footprint, e-o-p</t>
  </si>
  <si>
    <t>1П 2018</t>
  </si>
  <si>
    <t>H1 2018</t>
  </si>
  <si>
    <t>1кв 2018</t>
  </si>
  <si>
    <t>Q1 2018</t>
  </si>
  <si>
    <t>2кв 2018</t>
  </si>
  <si>
    <t>Repayment of VAT under finance leases</t>
  </si>
  <si>
    <t>Sale and leaseback financing</t>
  </si>
  <si>
    <t>Share premium</t>
  </si>
  <si>
    <t>1П 2018 LTM</t>
  </si>
  <si>
    <t>H1 2018 LTM</t>
  </si>
  <si>
    <t>% revenue</t>
  </si>
  <si>
    <t>Проценты по кредитам и займам (P&amp;L)</t>
  </si>
  <si>
    <t>Проценты по финансовой аренде (P&amp;L)</t>
  </si>
  <si>
    <t>Interest paid on loans and borrowings (P&amp;L)</t>
  </si>
  <si>
    <t>Interest paid on financial lease (P&amp;L)</t>
  </si>
  <si>
    <t>Выплата НДС по финансовой аренде</t>
  </si>
  <si>
    <t>Финансирование сделок sales leaseback</t>
  </si>
  <si>
    <t>В</t>
  </si>
  <si>
    <t>Q2 2018</t>
  </si>
  <si>
    <t>3кв 2018</t>
  </si>
  <si>
    <t>4кв 2018</t>
  </si>
  <si>
    <t>Q3 2018</t>
  </si>
  <si>
    <t>Q4 2018</t>
  </si>
  <si>
    <t>н.д.</t>
  </si>
  <si>
    <t>n.a.</t>
  </si>
  <si>
    <t>Total number of stores, e-o-p</t>
  </si>
  <si>
    <t>Количество продовольственных магазинов, на конец периода</t>
  </si>
  <si>
    <t>Number of grocery stores, e-o-p</t>
  </si>
  <si>
    <t>Количество магазинов дрогери, на конец периода</t>
  </si>
  <si>
    <t>Number of drogerie stores, e-o-p</t>
  </si>
  <si>
    <t>Торговая площадь магазинов, на конец периода</t>
  </si>
  <si>
    <t>тыс. кв.м.</t>
  </si>
  <si>
    <t>Sales area of stores, e-o-p</t>
  </si>
  <si>
    <t>Торговая площадь продовольственных магазинов, на конец периода</t>
  </si>
  <si>
    <t>Sales area of grocery stores, e-o-p</t>
  </si>
  <si>
    <t>Торговая площадь магазинов дрогери, на конец периода</t>
  </si>
  <si>
    <t>Sales area of drogerie stores, e-o-p</t>
  </si>
  <si>
    <t>Средняя торговая площадь 1 магазина, на конец периода</t>
  </si>
  <si>
    <t>Средняя торговая площадь 1 продовольственного магазина, на конец периода</t>
  </si>
  <si>
    <t>Average sales area of a grocery store, e-o-p</t>
  </si>
  <si>
    <t>Средняя торговая площадь 1 магазина дрогери, на конец периода</t>
  </si>
  <si>
    <t>Average sales area of a drogerie store, e-o-p</t>
  </si>
  <si>
    <t>Торговая площадь продовольственных магазинов по форме собственности, на конец периода:</t>
  </si>
  <si>
    <t>Sales area of grocery stores breakdown by leased/owned, e-o-p:</t>
  </si>
  <si>
    <t>Количество заказов онлайн, за период</t>
  </si>
  <si>
    <t>млн заказов</t>
  </si>
  <si>
    <t>Number of e-commerce orders, over the  period</t>
  </si>
  <si>
    <t>mn orders</t>
  </si>
  <si>
    <t>Revenue, excl. VAT</t>
  </si>
  <si>
    <t>Выручка , без НДС</t>
  </si>
  <si>
    <t>Вознаграждение аудиторам</t>
  </si>
  <si>
    <t>Auditors’ remuneration</t>
  </si>
  <si>
    <t>Эмиссионный доход</t>
  </si>
  <si>
    <t>Приобретении облигаций</t>
  </si>
  <si>
    <t>Purchases of bonds</t>
  </si>
  <si>
    <t>НДС в платежах по финансовой аренде</t>
  </si>
  <si>
    <t>Финансирование за счет обратной аренды</t>
  </si>
  <si>
    <t>Увеличение уставного фонда</t>
  </si>
  <si>
    <t>Share capital increase</t>
  </si>
  <si>
    <t xml:space="preserve">[1] Показатели отчета о движении денежных средств в 1П 2017 были пересмотрены в МСФО отчетности за 1П 2018, т.к. в 2018 году с целью оптимизации корпоративной структуры Компания консолидировала все бизнес направления (продовольственный ритейл, eCommerce и дрогери ритейл) в единую структуру. Ввиду проведенной консолидации произошел пересмотр показателей в 1П 2017 с учетом обновленного периметра компаний. </t>
  </si>
  <si>
    <t>[1] The statement of cash flows for 1H 2017 has been revised in IFRS Financial Statements for 1H 2018 due to the consolidation of all the businesses of the Company (offline retail, e-commerce and drogerie) under a single structure which occured in 2018. Since new companies had entered into the IFRS perimeter, some indicators for 1H 2017 were revised.</t>
  </si>
  <si>
    <t>Изменения:</t>
  </si>
  <si>
    <t xml:space="preserve">Чистый долг / EBITDA </t>
  </si>
  <si>
    <t>EBITDA  / Процентные расходы</t>
  </si>
  <si>
    <t>EBITDA  / Interest Expenses</t>
  </si>
  <si>
    <t>Net Debt / EBITDA</t>
  </si>
  <si>
    <t>Adj. free Cash Flow (1)</t>
  </si>
  <si>
    <t>Скорр. свободный денежный поток (1)</t>
  </si>
  <si>
    <t>Adj. EBITDA маржа, %</t>
  </si>
  <si>
    <t>Adj. EBITDA margin, %</t>
  </si>
  <si>
    <t>Adj. EBITDA (1)</t>
  </si>
  <si>
    <t>(1) Adjusted for one-off costs related to the Сompany’s IPO preparations which accounted for BYN 7,152 ths. in 2018</t>
  </si>
  <si>
    <t>(1) Показатель скорректирован на величину разовых расходов по подготовке к IPO в размере 7 152 тыс. BYN в 2018 году</t>
  </si>
  <si>
    <t>Амортизация прав использования</t>
  </si>
  <si>
    <t>Amortization of right-of-use assets</t>
  </si>
  <si>
    <t>Right-of-use assets</t>
  </si>
  <si>
    <t>Права пользования объектами аренды</t>
  </si>
  <si>
    <t>Долгосрочные обязательства по правам аренды</t>
  </si>
  <si>
    <t>Long-term right-of-use liabilities</t>
  </si>
  <si>
    <t>Краткосрочные обязательства по правам аренды</t>
  </si>
  <si>
    <t>Short-term right-of-use liabilities</t>
  </si>
  <si>
    <t>Repayment of principal and interest under right-of-use agreements</t>
  </si>
  <si>
    <t>Погашение обязательств по договорам аренды</t>
  </si>
  <si>
    <t>Long-Term Credit Rating</t>
  </si>
  <si>
    <t>byA+/ruA-</t>
  </si>
  <si>
    <t>11 October 2019</t>
  </si>
  <si>
    <t>Expert RA </t>
  </si>
  <si>
    <t>Эксперт РА</t>
  </si>
  <si>
    <t>Долгосрочный кредитный рейтинг</t>
  </si>
  <si>
    <t>11 октября 2019    </t>
  </si>
  <si>
    <t>1кв 2019</t>
  </si>
  <si>
    <t>2кв 2019</t>
  </si>
  <si>
    <t>Q1 2019</t>
  </si>
  <si>
    <t>Q2 2019</t>
  </si>
  <si>
    <t>Облигации в российских рублях. Срок погашения: 2024. Ставка купона: 10,95%</t>
  </si>
  <si>
    <t>RUB 5,000,000,000 10.950% Documentarily Non-convertible Bonds due 2022</t>
  </si>
  <si>
    <t>ООО «Ритейл Бел Финанс»</t>
  </si>
  <si>
    <t>Retail Bel Finance LLC</t>
  </si>
  <si>
    <t>Тип облигаций:</t>
  </si>
  <si>
    <t>Документарные неконвертируемые процентные облигации на предъявителя с обязательным централизованным хранением серии 01</t>
  </si>
  <si>
    <t>Documentarily non-convertible bonds</t>
  </si>
  <si>
    <t>RUB 5 000 000 000</t>
  </si>
  <si>
    <t>RUB 5,000,000,000</t>
  </si>
  <si>
    <t>09 июля 2019</t>
  </si>
  <si>
    <t>09 July 2019</t>
  </si>
  <si>
    <t>02 июля 2024</t>
  </si>
  <si>
    <t>02 July 2024</t>
  </si>
  <si>
    <t>10.950%</t>
  </si>
  <si>
    <t>4 раза в год, длительность каждого купонного периода - 91 день</t>
  </si>
  <si>
    <t>4 times per year every 91 days</t>
  </si>
  <si>
    <t>03 января 2023</t>
  </si>
  <si>
    <t>RUB 1 250 000 000</t>
  </si>
  <si>
    <t>03 January 2023</t>
  </si>
  <si>
    <t>RUB 1,250,000,000</t>
  </si>
  <si>
    <t>04 июля 2023</t>
  </si>
  <si>
    <t>04 July 2023</t>
  </si>
  <si>
    <t>02 января 2024</t>
  </si>
  <si>
    <t>02 January 2024</t>
  </si>
  <si>
    <t>Эксперт РА: «byA+», прогноз «Стабильный» (рейтинг Компании)</t>
  </si>
  <si>
    <t xml:space="preserve">	Expert RA: “byA+”, outlook “Stable” (Company)</t>
  </si>
  <si>
    <t>Эксперт РА: «ruA-», прогноз «Стабильный» (рейтинг выпуска)</t>
  </si>
  <si>
    <t>Expert RA: “ruA-”, outlook “Stable” (bonds)</t>
  </si>
  <si>
    <t>Московская Биржа</t>
  </si>
  <si>
    <t>Moscow Exchange</t>
  </si>
  <si>
    <t>Код ценной бумаги:</t>
  </si>
  <si>
    <t>ISIN: RU000A100JH0</t>
  </si>
  <si>
    <t>Государственный регистрационный номер: 4-01-00482-R</t>
  </si>
  <si>
    <t>State registration number: 4-01-00482-R</t>
  </si>
  <si>
    <t>Организаторы выпуска:</t>
  </si>
  <si>
    <t>Газпромбанк, МКБ, БК Регион, BCS Global Markets, Ренессанс Капитал</t>
  </si>
  <si>
    <t>Joint Bookrunners:</t>
  </si>
  <si>
    <t>Gazprombank, MKB, Region BC, BCS Global Markets, Renaissance Capital</t>
  </si>
  <si>
    <t>BCS Global Markets</t>
  </si>
  <si>
    <t>Placement agent:</t>
  </si>
  <si>
    <t>Облигации в российских рублях (дополнительный выпуск)</t>
  </si>
  <si>
    <t>Газпромбанк, МКБ, БК Регион, BCS Global Markets, Ренессанс Капитал, ВТБ Капитал, Совкомбанк</t>
  </si>
  <si>
    <t>Газпромбанк</t>
  </si>
  <si>
    <t>Gazprombank, MKB, Region BC, BCS Global Markets, Renaissance Capital, VTB Capital, Sovcombank</t>
  </si>
  <si>
    <t>Gazprombank</t>
  </si>
  <si>
    <t>RUB 5,000,000,000 10.950% Documentarily Non-convertible Bonds due 2022 (additional issue)</t>
  </si>
  <si>
    <t>Проспект эмиссии доступен по ссылке ниже.</t>
  </si>
  <si>
    <t>Listing Particulars are available on the link below.</t>
  </si>
  <si>
    <t>Облигации в российских рублях. Срок погашения: 2024. Ставка купона: 10,95% (доп. выпуск)</t>
  </si>
  <si>
    <t>IAS 17</t>
  </si>
  <si>
    <t>IFRS 16</t>
  </si>
  <si>
    <t>1П 2019</t>
  </si>
  <si>
    <t>H1 2019</t>
  </si>
  <si>
    <t>H1 2019 LTM</t>
  </si>
  <si>
    <t>1П 2019 LTM</t>
  </si>
  <si>
    <t>RUB bonds (tap issue)</t>
  </si>
  <si>
    <t>Облигации в российских рублях (основной выпуск)</t>
  </si>
  <si>
    <t>RUB bonds (principal issue)</t>
  </si>
  <si>
    <t>Изменение в резерве под обесценение финансовых активов</t>
  </si>
  <si>
    <t>Change in allowance for impairment of financial assets</t>
  </si>
  <si>
    <t>[2] Для конвертации показателей из BYN в USD в 2014 году был использован обменный курс на 31 декабря 2014 года (не средний за период), т.к. 2014 год был гиперинфляционным.</t>
  </si>
  <si>
    <t>[2] The exchange rate as of December 31, 2014 (not average in the period) is used to convert P&amp;L indicators from BYN to USD in 2014 as 2014 was hyperinflationary year.</t>
  </si>
  <si>
    <t>[1] Some items in the Company’s financial statements have been reclassified.</t>
  </si>
  <si>
    <t>[1] Некоторые статьи финансовой отчетности Компании были реклассифицированы.</t>
  </si>
  <si>
    <t xml:space="preserve">[1] Балансовые показатели на 31 декабря 2017 года были пересмотрены в МСФО отчетности за 2018, т.к. в 2018 году с целью оптимизации корпоративной структуры Компания консолидировала все бизнес направления в единую структуру. Ввиду проведенной консолидации произошел пересмотр показателей на 31 декабря 2017 года с учетом обновленного периметра компаний. </t>
  </si>
  <si>
    <t>[1] The balance sheet as of 31 December 2017 has been revised in IFRS Financial Statements for 2018 due to the consolidation of all the businesses of the Company under a single structure which occured in 2018. Since new companies had entered into the IFRS perimeter, some indicators as of 31 December 2017 were revised.</t>
  </si>
  <si>
    <t>Производные финансовые инструменты</t>
  </si>
  <si>
    <t>Derivatives</t>
  </si>
  <si>
    <t>[2] Некоторые статьи финансовой отчетности Компании были реклассифицированы.</t>
  </si>
  <si>
    <t>[2] Some items in the Company’s financial statements have been reclassified.</t>
  </si>
  <si>
    <t>Прочие финансовые вложения</t>
  </si>
  <si>
    <t>Займы выданные</t>
  </si>
  <si>
    <t>Погашение основного долга по правам аренды</t>
  </si>
  <si>
    <t>Погашение процентов по правам аренды</t>
  </si>
  <si>
    <t>Процентные расходы по договорам аренды (P&amp;L)</t>
  </si>
  <si>
    <t>Interest paid on lease agreements (P&amp;L)</t>
  </si>
  <si>
    <t>3кв 2019</t>
  </si>
  <si>
    <t>4кв 2019</t>
  </si>
  <si>
    <t>1кв 2020</t>
  </si>
  <si>
    <t>Q3 2019</t>
  </si>
  <si>
    <t>Q4 2019</t>
  </si>
  <si>
    <t>Q1 2020</t>
  </si>
  <si>
    <t>8 мая 2020</t>
  </si>
  <si>
    <t>15 мая 2020</t>
  </si>
  <si>
    <t>8 May 2020</t>
  </si>
  <si>
    <t>15 May 2020</t>
  </si>
  <si>
    <t>1П 2020</t>
  </si>
  <si>
    <t>H1 2020</t>
  </si>
  <si>
    <t>1П 2020 LTM</t>
  </si>
  <si>
    <t>H1 2020 LTM</t>
  </si>
  <si>
    <t>2кв 2020</t>
  </si>
  <si>
    <t>Q2 2020</t>
  </si>
  <si>
    <t>Доход от приобретения дочерних предприятий</t>
  </si>
  <si>
    <t>Profit on acquisition of subsidiaries</t>
  </si>
  <si>
    <t>3кв 2020</t>
  </si>
  <si>
    <t>4кв 2020</t>
  </si>
  <si>
    <t>Q3 2020</t>
  </si>
  <si>
    <t>Q4 2020</t>
  </si>
  <si>
    <t xml:space="preserve">EBITDA </t>
  </si>
  <si>
    <t>Чистый торговый рабочий капитал</t>
  </si>
  <si>
    <t>Net Trade Working Capital</t>
  </si>
  <si>
    <t>КЛЮЧЕВЫЕ ФИНАНСОВЫЕ ПОКАЗАТЕЛИ</t>
  </si>
  <si>
    <t>HY</t>
  </si>
  <si>
    <t>EBITDA (HY)</t>
  </si>
  <si>
    <t>Debt burden (HY)</t>
  </si>
  <si>
    <t>(1) "Свободный денежный поток" означает чистый денежный поток от операционной деятельности за вычетом капитальных инвестиций плюс доходы от реализации основных средств. В 2020 году Компания корректирует свободные денежные потоки на изменение торгового оборотного капитала.</t>
  </si>
  <si>
    <t>(1) “Free  Cash Flow” means Net cash from operating activities less Capital expenditures plus Proceeds from sale of property and equipment. In 2020 the Company adjusts Free cash flow for change in trade working capital.</t>
  </si>
  <si>
    <t>Выбор языка: РУССКИЙ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</si>
</sst>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_-;\-* #,##0.00\ _₽_-;_-* &quot;-&quot;??\ _₽_-;_-@_-"/>
    <numFmt numFmtId="165" formatCode="_-* #,##0.00_р_._-;\-* #,##0.00_р_._-;_-* &quot;-&quot;??_р_._-;_-@_-"/>
    <numFmt numFmtId="166" formatCode="#,##0\ ;\(#,##0\);\-\ \ "/>
    <numFmt numFmtId="167" formatCode="_(* #,##0_);_(* \(#,##0\);_(* &quot;-&quot;??_);_(@_)"/>
    <numFmt numFmtId="168" formatCode="_ * #,##0_ ;_ * \-#,##0_ ;_ * &quot;-&quot;??_ ;_ @_ "/>
    <numFmt numFmtId="169" formatCode="0.0%"/>
    <numFmt numFmtId="170" formatCode="#,##0\ ;\(#,##0\);\-\ "/>
    <numFmt numFmtId="171" formatCode="#,##0.0\x_ ;\-#,##0.0\x\ "/>
    <numFmt numFmtId="172" formatCode="0.0"/>
    <numFmt numFmtId="173" formatCode="#,##0.0\ ;\(#,##0.0\);\-\ "/>
    <numFmt numFmtId="174" formatCode="0.0000"/>
    <numFmt numFmtId="175" formatCode="General_)"/>
    <numFmt numFmtId="176" formatCode="#,##0.00\x_ ;\-#,##0.00\x\ "/>
    <numFmt numFmtId="177" formatCode="_-* #,##0\ _₽_-;\-* #,##0\ _₽_-;_-* &quot;-&quot;??\ _₽_-;_-@_-"/>
    <numFmt numFmtId="178" formatCode="_-* #,##0.0000000_-;\-* #,##0.0000000_-;_-* &quot;-&quot;??_-;_-@_-"/>
    <numFmt numFmtId="179" formatCode="#,##0;\(#,##0\);\-"/>
    <numFmt numFmtId="180" formatCode="_-* #,##0_-;\-* #,##0_-;_-* &quot;-&quot;??_-;_-@_-"/>
  </numFmts>
  <fonts count="59" x14ac:knownFonts="1">
    <font>
      <sz val="11"/>
      <color theme="1"/>
      <name val="Calibri"/>
      <family val="2"/>
      <scheme val="minor"/>
    </font>
    <font>
      <sz val="11"/>
      <color theme="1"/>
      <name val="Calibri"/>
      <family val="2"/>
      <charset val="204"/>
      <scheme val="minor"/>
    </font>
    <font>
      <sz val="9"/>
      <color indexed="8"/>
      <name val="Calibri"/>
      <family val="2"/>
      <charset val="204"/>
    </font>
    <font>
      <sz val="11"/>
      <color indexed="8"/>
      <name val="Calibri"/>
      <family val="2"/>
      <charset val="204"/>
    </font>
    <font>
      <u/>
      <sz val="11"/>
      <color indexed="8"/>
      <name val="Calibri"/>
      <family val="2"/>
      <charset val="204"/>
    </font>
    <font>
      <sz val="11"/>
      <color theme="1"/>
      <name val="Calibri"/>
      <family val="2"/>
      <scheme val="minor"/>
    </font>
    <font>
      <sz val="10"/>
      <color theme="1"/>
      <name val="Calibri"/>
      <family val="2"/>
      <scheme val="minor"/>
    </font>
    <font>
      <sz val="10"/>
      <color theme="1"/>
      <name val="Calibri"/>
      <family val="2"/>
      <charset val="204"/>
      <scheme val="minor"/>
    </font>
    <font>
      <sz val="10"/>
      <name val="Calibri"/>
      <family val="2"/>
      <scheme val="minor"/>
    </font>
    <font>
      <b/>
      <sz val="10"/>
      <color theme="1"/>
      <name val="Calibri"/>
      <family val="2"/>
      <charset val="204"/>
      <scheme val="minor"/>
    </font>
    <font>
      <b/>
      <sz val="10"/>
      <color theme="0"/>
      <name val="Calibri"/>
      <family val="2"/>
      <charset val="204"/>
      <scheme val="minor"/>
    </font>
    <font>
      <b/>
      <sz val="10"/>
      <name val="Calibri"/>
      <family val="2"/>
      <charset val="204"/>
      <scheme val="minor"/>
    </font>
    <font>
      <sz val="10"/>
      <name val="Calibri"/>
      <family val="2"/>
      <charset val="204"/>
      <scheme val="minor"/>
    </font>
    <font>
      <sz val="9"/>
      <name val="Calibri"/>
      <family val="2"/>
      <scheme val="minor"/>
    </font>
    <font>
      <sz val="9"/>
      <color theme="1"/>
      <name val="Calibri"/>
      <family val="2"/>
      <scheme val="minor"/>
    </font>
    <font>
      <b/>
      <sz val="10"/>
      <color indexed="10"/>
      <name val="Calibri"/>
      <family val="2"/>
      <charset val="204"/>
      <scheme val="minor"/>
    </font>
    <font>
      <i/>
      <sz val="8"/>
      <color theme="1"/>
      <name val="Calibri"/>
      <family val="2"/>
      <charset val="204"/>
      <scheme val="minor"/>
    </font>
    <font>
      <sz val="10"/>
      <color rgb="FFFF0000"/>
      <name val="Calibri"/>
      <family val="2"/>
      <scheme val="minor"/>
    </font>
    <font>
      <b/>
      <sz val="10"/>
      <name val="Calibri"/>
      <family val="2"/>
      <scheme val="minor"/>
    </font>
    <font>
      <sz val="10"/>
      <color rgb="FF000000"/>
      <name val="Arial"/>
      <family val="2"/>
      <charset val="204"/>
    </font>
    <font>
      <i/>
      <sz val="11"/>
      <name val="Calibri"/>
      <family val="2"/>
      <charset val="204"/>
      <scheme val="minor"/>
    </font>
    <font>
      <b/>
      <sz val="11"/>
      <name val="Calibri"/>
      <family val="2"/>
      <charset val="204"/>
      <scheme val="minor"/>
    </font>
    <font>
      <sz val="11"/>
      <name val="Calibri"/>
      <family val="2"/>
      <charset val="204"/>
      <scheme val="minor"/>
    </font>
    <font>
      <i/>
      <sz val="10"/>
      <name val="Calibri"/>
      <family val="2"/>
      <charset val="204"/>
      <scheme val="minor"/>
    </font>
    <font>
      <i/>
      <sz val="11"/>
      <color theme="1" tint="0.499984740745262"/>
      <name val="Calibri"/>
      <family val="2"/>
      <scheme val="minor"/>
    </font>
    <font>
      <i/>
      <sz val="10"/>
      <color theme="1"/>
      <name val="Calibri"/>
      <family val="2"/>
      <charset val="204"/>
      <scheme val="minor"/>
    </font>
    <font>
      <b/>
      <sz val="11"/>
      <color theme="1"/>
      <name val="Calibri"/>
      <family val="2"/>
      <charset val="204"/>
      <scheme val="minor"/>
    </font>
    <font>
      <sz val="11"/>
      <color theme="1"/>
      <name val="Calibri"/>
      <family val="2"/>
      <charset val="204"/>
      <scheme val="minor"/>
    </font>
    <font>
      <sz val="10"/>
      <color rgb="FF00B050"/>
      <name val="Calibri"/>
      <family val="2"/>
      <scheme val="minor"/>
    </font>
    <font>
      <b/>
      <sz val="11"/>
      <color rgb="FF000000"/>
      <name val="Calibri"/>
      <family val="2"/>
      <charset val="204"/>
      <scheme val="minor"/>
    </font>
    <font>
      <b/>
      <u/>
      <sz val="12"/>
      <color rgb="FF74B230"/>
      <name val="Calibri"/>
      <family val="2"/>
      <charset val="204"/>
      <scheme val="minor"/>
    </font>
    <font>
      <sz val="9"/>
      <color theme="1"/>
      <name val="Calibri"/>
      <family val="2"/>
      <charset val="204"/>
      <scheme val="minor"/>
    </font>
    <font>
      <i/>
      <sz val="10"/>
      <name val="Calibri"/>
      <family val="2"/>
      <scheme val="minor"/>
    </font>
    <font>
      <u/>
      <sz val="11"/>
      <color theme="10"/>
      <name val="Calibri"/>
      <family val="2"/>
      <scheme val="minor"/>
    </font>
    <font>
      <sz val="11"/>
      <color rgb="FF000000"/>
      <name val="Calibri"/>
      <family val="2"/>
      <scheme val="minor"/>
    </font>
    <font>
      <b/>
      <sz val="10"/>
      <color rgb="FF000000"/>
      <name val="Calibri"/>
      <family val="2"/>
      <charset val="204"/>
      <scheme val="minor"/>
    </font>
    <font>
      <sz val="10"/>
      <color rgb="FF000000"/>
      <name val="Calibri"/>
      <family val="2"/>
      <charset val="204"/>
      <scheme val="minor"/>
    </font>
    <font>
      <b/>
      <sz val="9"/>
      <color theme="1"/>
      <name val="Calibri"/>
      <family val="2"/>
      <charset val="204"/>
      <scheme val="minor"/>
    </font>
    <font>
      <i/>
      <sz val="9"/>
      <color theme="1"/>
      <name val="Calibri"/>
      <family val="2"/>
      <charset val="204"/>
      <scheme val="minor"/>
    </font>
    <font>
      <i/>
      <sz val="9"/>
      <name val="Calibri"/>
      <family val="2"/>
      <charset val="204"/>
      <scheme val="minor"/>
    </font>
    <font>
      <sz val="9"/>
      <name val="Calibri"/>
      <family val="2"/>
      <charset val="204"/>
      <scheme val="minor"/>
    </font>
    <font>
      <sz val="11"/>
      <color rgb="FF000000"/>
      <name val="Calibri"/>
      <family val="2"/>
      <charset val="204"/>
      <scheme val="minor"/>
    </font>
    <font>
      <b/>
      <sz val="9"/>
      <color rgb="FF000000"/>
      <name val="Calibri"/>
      <family val="2"/>
      <charset val="204"/>
      <scheme val="minor"/>
    </font>
    <font>
      <b/>
      <i/>
      <sz val="10"/>
      <color theme="1"/>
      <name val="Calibri"/>
      <family val="2"/>
      <scheme val="minor"/>
    </font>
    <font>
      <b/>
      <i/>
      <sz val="11"/>
      <color rgb="FF000000"/>
      <name val="Calibri"/>
      <family val="2"/>
      <charset val="204"/>
      <scheme val="minor"/>
    </font>
    <font>
      <b/>
      <sz val="9"/>
      <name val="Calibri"/>
      <family val="2"/>
      <charset val="204"/>
      <scheme val="minor"/>
    </font>
    <font>
      <u/>
      <sz val="10"/>
      <color rgb="FF373C46"/>
      <name val="Calibri"/>
      <family val="2"/>
      <scheme val="minor"/>
    </font>
    <font>
      <sz val="11"/>
      <color rgb="FF373C46"/>
      <name val="Calibri"/>
      <family val="2"/>
      <scheme val="minor"/>
    </font>
    <font>
      <b/>
      <u/>
      <sz val="12"/>
      <color rgb="FF7CBF33"/>
      <name val="Calibri"/>
      <family val="2"/>
      <charset val="204"/>
      <scheme val="minor"/>
    </font>
    <font>
      <sz val="9"/>
      <color rgb="FF000000"/>
      <name val="Calibri"/>
      <family val="2"/>
      <charset val="204"/>
      <scheme val="minor"/>
    </font>
    <font>
      <i/>
      <sz val="9"/>
      <name val="Calibri"/>
      <family val="2"/>
      <scheme val="minor"/>
    </font>
    <font>
      <sz val="10"/>
      <name val="Tahoma"/>
      <family val="2"/>
      <charset val="204"/>
    </font>
    <font>
      <sz val="8"/>
      <name val="arial"/>
      <family val="2"/>
    </font>
    <font>
      <sz val="10"/>
      <name val="Arial"/>
      <family val="2"/>
    </font>
    <font>
      <sz val="10"/>
      <name val="Arial Cyr"/>
      <family val="2"/>
      <charset val="204"/>
    </font>
    <font>
      <sz val="10"/>
      <color indexed="16"/>
      <name val="Calibri"/>
      <family val="2"/>
      <scheme val="minor"/>
    </font>
    <font>
      <sz val="10"/>
      <color theme="1"/>
      <name val="Cambria"/>
      <family val="2"/>
      <charset val="204"/>
    </font>
    <font>
      <sz val="8"/>
      <name val="Calibri"/>
      <family val="2"/>
      <scheme val="minor"/>
    </font>
    <font>
      <sz val="9"/>
      <name val="Times New Roman"/>
      <family val="1"/>
      <charset val="204"/>
    </font>
  </fonts>
  <fills count="28">
    <fill>
      <patternFill patternType="none"/>
    </fill>
    <fill>
      <patternFill patternType="gray125"/>
    </fill>
    <fill>
      <patternFill patternType="solid">
        <fgColor indexed="9"/>
        <bgColor indexed="64"/>
      </patternFill>
    </fill>
    <fill>
      <patternFill patternType="solid">
        <fgColor rgb="FF7D8386"/>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A6A6A6"/>
        <bgColor rgb="FF000000"/>
      </patternFill>
    </fill>
    <fill>
      <patternFill patternType="solid">
        <fgColor rgb="FFBFBFBF"/>
        <bgColor rgb="FF000000"/>
      </patternFill>
    </fill>
    <fill>
      <patternFill patternType="solid">
        <fgColor rgb="FFD9D9D9"/>
        <bgColor rgb="FF000000"/>
      </patternFill>
    </fill>
    <fill>
      <patternFill patternType="solid">
        <fgColor theme="9" tint="0.79998168889431442"/>
        <bgColor indexed="64"/>
      </patternFill>
    </fill>
    <fill>
      <patternFill patternType="solid">
        <fgColor indexed="49"/>
      </patternFill>
    </fill>
    <fill>
      <patternFill patternType="solid">
        <fgColor theme="1" tint="0.34998626667073579"/>
        <bgColor indexed="64"/>
      </patternFill>
    </fill>
  </fills>
  <borders count="2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top/>
      <bottom style="thin">
        <color theme="1" tint="0.499984740745262"/>
      </bottom>
      <diagonal/>
    </border>
    <border>
      <left/>
      <right/>
      <top/>
      <bottom style="double">
        <color theme="1" tint="0.499984740745262"/>
      </bottom>
      <diagonal/>
    </border>
    <border>
      <left/>
      <right/>
      <top/>
      <bottom style="dotted">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dotted">
        <color theme="1" tint="0.499984740745262"/>
      </top>
      <bottom style="double">
        <color indexed="64"/>
      </bottom>
      <diagonal/>
    </border>
    <border>
      <left/>
      <right/>
      <top style="thin">
        <color theme="1" tint="0.499984740745262"/>
      </top>
      <bottom style="double">
        <color indexed="64"/>
      </bottom>
      <diagonal/>
    </border>
    <border>
      <left/>
      <right/>
      <top style="thin">
        <color theme="1" tint="0.499984740745262"/>
      </top>
      <bottom style="double">
        <color theme="1" tint="0.499984740745262"/>
      </bottom>
      <diagonal/>
    </border>
    <border>
      <left/>
      <right/>
      <top style="dotted">
        <color rgb="FF808080"/>
      </top>
      <bottom style="dotted">
        <color rgb="FF808080"/>
      </bottom>
      <diagonal/>
    </border>
    <border>
      <left/>
      <right/>
      <top/>
      <bottom style="dotted">
        <color rgb="FF808080"/>
      </bottom>
      <diagonal/>
    </border>
    <border>
      <left/>
      <right/>
      <top style="dotted">
        <color theme="1" tint="0.499984740745262"/>
      </top>
      <bottom/>
      <diagonal/>
    </border>
    <border>
      <left style="dotted">
        <color theme="1" tint="0.499984740745262"/>
      </left>
      <right/>
      <top style="dotted">
        <color theme="1" tint="0.499984740745262"/>
      </top>
      <bottom style="dotted">
        <color theme="1" tint="0.499984740745262"/>
      </bottom>
      <diagonal/>
    </border>
    <border>
      <left/>
      <right style="dotted">
        <color theme="1" tint="0.499984740745262"/>
      </right>
      <top style="dotted">
        <color theme="1" tint="0.499984740745262"/>
      </top>
      <bottom style="dotted">
        <color theme="1" tint="0.499984740745262"/>
      </bottom>
      <diagonal/>
    </border>
    <border>
      <left/>
      <right/>
      <top style="dotted">
        <color theme="1" tint="0.499984740745262"/>
      </top>
      <bottom style="double">
        <color theme="1" tint="0.49998474074526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18"/>
      </left>
      <right style="thin">
        <color indexed="18"/>
      </right>
      <top style="thin">
        <color indexed="18"/>
      </top>
      <bottom style="thin">
        <color indexed="18"/>
      </bottom>
      <diagonal/>
    </border>
    <border>
      <left/>
      <right/>
      <top style="thin">
        <color auto="1"/>
      </top>
      <bottom/>
      <diagonal/>
    </border>
    <border>
      <left/>
      <right/>
      <top style="dotted">
        <color theme="1" tint="0.499984740745262"/>
      </top>
      <bottom style="thin">
        <color indexed="64"/>
      </bottom>
      <diagonal/>
    </border>
    <border>
      <left/>
      <right/>
      <top style="dotted">
        <color indexed="64"/>
      </top>
      <bottom/>
      <diagonal/>
    </border>
    <border>
      <left/>
      <right/>
      <top style="dotted">
        <color indexed="64"/>
      </top>
      <bottom style="thin">
        <color indexed="64"/>
      </bottom>
      <diagonal/>
    </border>
  </borders>
  <cellStyleXfs count="38">
    <xf numFmtId="0" fontId="0" fillId="0" borderId="0"/>
    <xf numFmtId="0" fontId="33" fillId="0" borderId="0" applyNumberForma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5" fillId="0" borderId="0"/>
    <xf numFmtId="164" fontId="5" fillId="0" borderId="0" applyFont="0" applyFill="0" applyBorder="0" applyAlignment="0" applyProtection="0"/>
    <xf numFmtId="175" fontId="51" fillId="0" borderId="0" applyFont="0" applyFill="0" applyBorder="0" applyAlignment="0" applyProtection="0"/>
    <xf numFmtId="0" fontId="52" fillId="0" borderId="0"/>
    <xf numFmtId="43" fontId="52" fillId="0" borderId="0" applyFont="0" applyFill="0" applyBorder="0" applyAlignment="0" applyProtection="0"/>
    <xf numFmtId="0" fontId="52" fillId="0" borderId="0"/>
    <xf numFmtId="9" fontId="52" fillId="0" borderId="0" applyFont="0" applyFill="0" applyBorder="0" applyAlignment="0" applyProtection="0"/>
    <xf numFmtId="0" fontId="53" fillId="0" borderId="0"/>
    <xf numFmtId="165" fontId="54" fillId="0" borderId="0" applyFont="0" applyFill="0" applyBorder="0" applyAlignment="0" applyProtection="0"/>
    <xf numFmtId="0" fontId="1" fillId="0" borderId="0"/>
    <xf numFmtId="165" fontId="1" fillId="0" borderId="0" applyFont="0" applyFill="0" applyBorder="0" applyAlignment="0" applyProtection="0"/>
    <xf numFmtId="0" fontId="55" fillId="0" borderId="0"/>
    <xf numFmtId="164" fontId="5" fillId="0" borderId="0" applyFont="0" applyFill="0" applyBorder="0" applyAlignment="0" applyProtection="0"/>
    <xf numFmtId="9" fontId="5"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56" fillId="0" borderId="0"/>
    <xf numFmtId="164" fontId="56" fillId="0" borderId="0" applyFont="0" applyFill="0" applyBorder="0" applyAlignment="0" applyProtection="0"/>
    <xf numFmtId="9" fontId="56" fillId="0" borderId="0" applyFont="0" applyFill="0" applyBorder="0" applyAlignment="0" applyProtection="0"/>
    <xf numFmtId="0" fontId="1" fillId="0" borderId="0"/>
    <xf numFmtId="9" fontId="1" fillId="0" borderId="0" applyFont="0" applyFill="0" applyBorder="0" applyAlignment="0" applyProtection="0"/>
    <xf numFmtId="43" fontId="52" fillId="0" borderId="0" applyFont="0" applyFill="0" applyBorder="0" applyAlignment="0" applyProtection="0"/>
    <xf numFmtId="4" fontId="52" fillId="26" borderId="23" applyNumberFormat="0" applyProtection="0">
      <alignment horizontal="left" vertical="center" indent="1"/>
    </xf>
    <xf numFmtId="0" fontId="1" fillId="0" borderId="0"/>
    <xf numFmtId="43" fontId="5" fillId="0" borderId="0" applyFont="0" applyFill="0" applyBorder="0" applyAlignment="0" applyProtection="0"/>
  </cellStyleXfs>
  <cellXfs count="486">
    <xf numFmtId="0" fontId="0" fillId="0" borderId="0" xfId="0"/>
    <xf numFmtId="0" fontId="6" fillId="0" borderId="0" xfId="0" applyFont="1"/>
    <xf numFmtId="0" fontId="7" fillId="0" borderId="0" xfId="0" applyFont="1" applyAlignment="1">
      <alignment horizontal="left"/>
    </xf>
    <xf numFmtId="0" fontId="8" fillId="0" borderId="0" xfId="0" applyFont="1"/>
    <xf numFmtId="0" fontId="8" fillId="0" borderId="0" xfId="0" applyFont="1" applyAlignment="1">
      <alignment horizontal="left"/>
    </xf>
    <xf numFmtId="0" fontId="8" fillId="0" borderId="0" xfId="0" applyFont="1" applyBorder="1"/>
    <xf numFmtId="0" fontId="7" fillId="0" borderId="0" xfId="0" applyFont="1" applyFill="1" applyAlignment="1">
      <alignment horizontal="left"/>
    </xf>
    <xf numFmtId="0" fontId="7" fillId="0" borderId="0" xfId="0" applyFont="1"/>
    <xf numFmtId="0" fontId="10" fillId="3" borderId="1" xfId="0" applyFont="1" applyFill="1" applyBorder="1" applyAlignment="1">
      <alignment horizontal="left"/>
    </xf>
    <xf numFmtId="0" fontId="8" fillId="0" borderId="0" xfId="0" applyFont="1" applyBorder="1" applyAlignment="1">
      <alignment horizontal="left"/>
    </xf>
    <xf numFmtId="0" fontId="11" fillId="0" borderId="0" xfId="0" applyFont="1" applyFill="1" applyBorder="1" applyAlignment="1">
      <alignment horizontal="left" vertical="center" wrapText="1"/>
    </xf>
    <xf numFmtId="0" fontId="11" fillId="0" borderId="0" xfId="0" applyFont="1" applyFill="1" applyBorder="1" applyAlignment="1">
      <alignment vertical="top" wrapText="1"/>
    </xf>
    <xf numFmtId="0" fontId="12" fillId="0" borderId="0" xfId="0" applyFont="1" applyFill="1" applyBorder="1" applyAlignment="1">
      <alignment horizontal="left" vertical="top" wrapText="1" indent="2"/>
    </xf>
    <xf numFmtId="0" fontId="8" fillId="0" borderId="0" xfId="0" applyFont="1" applyFill="1" applyBorder="1" applyAlignment="1">
      <alignment horizontal="left"/>
    </xf>
    <xf numFmtId="0" fontId="10" fillId="3" borderId="1" xfId="0" applyFont="1" applyFill="1" applyBorder="1" applyAlignment="1">
      <alignment horizontal="right"/>
    </xf>
    <xf numFmtId="0" fontId="6" fillId="0" borderId="0" xfId="0" applyFont="1" applyBorder="1"/>
    <xf numFmtId="166" fontId="13" fillId="0" borderId="0" xfId="0" applyNumberFormat="1" applyFont="1" applyFill="1" applyBorder="1" applyAlignment="1">
      <alignment horizontal="right" wrapText="1"/>
    </xf>
    <xf numFmtId="0" fontId="6" fillId="0" borderId="0" xfId="0" applyFont="1" applyFill="1" applyBorder="1"/>
    <xf numFmtId="0" fontId="14" fillId="0" borderId="0" xfId="0" applyFont="1" applyFill="1" applyBorder="1"/>
    <xf numFmtId="167" fontId="11" fillId="0" borderId="0" xfId="6" applyNumberFormat="1" applyFont="1" applyFill="1" applyBorder="1" applyAlignment="1">
      <alignment horizontal="right" wrapText="1"/>
    </xf>
    <xf numFmtId="0" fontId="8" fillId="0" borderId="0" xfId="0" applyFont="1" applyFill="1" applyBorder="1"/>
    <xf numFmtId="167" fontId="12" fillId="0" borderId="0" xfId="6" applyNumberFormat="1" applyFont="1" applyFill="1" applyBorder="1" applyAlignment="1">
      <alignment horizontal="right" wrapText="1"/>
    </xf>
    <xf numFmtId="0" fontId="8" fillId="0" borderId="0" xfId="0" applyFont="1" applyAlignment="1">
      <alignment horizontal="right"/>
    </xf>
    <xf numFmtId="0" fontId="6" fillId="0" borderId="0" xfId="0" applyFont="1" applyAlignment="1">
      <alignment horizontal="right"/>
    </xf>
    <xf numFmtId="0" fontId="11" fillId="0" borderId="0" xfId="0" applyFont="1" applyFill="1" applyBorder="1" applyAlignment="1">
      <alignment horizontal="left" wrapText="1"/>
    </xf>
    <xf numFmtId="0" fontId="12" fillId="0" borderId="5" xfId="0" applyFont="1" applyFill="1" applyBorder="1" applyAlignment="1">
      <alignment horizontal="left" vertical="top" wrapText="1" indent="2"/>
    </xf>
    <xf numFmtId="2" fontId="16" fillId="0" borderId="0" xfId="0" applyNumberFormat="1" applyFont="1"/>
    <xf numFmtId="0" fontId="17" fillId="0" borderId="0" xfId="0" applyFont="1"/>
    <xf numFmtId="0" fontId="6" fillId="0" borderId="0" xfId="0" applyFont="1" applyBorder="1" applyAlignment="1">
      <alignment horizontal="right"/>
    </xf>
    <xf numFmtId="0" fontId="18" fillId="0" borderId="0" xfId="0" applyFont="1" applyFill="1" applyBorder="1" applyAlignment="1">
      <alignment horizontal="left" vertical="center" wrapText="1"/>
    </xf>
    <xf numFmtId="0" fontId="18" fillId="0" borderId="0" xfId="0" applyFont="1" applyFill="1" applyBorder="1" applyAlignment="1">
      <alignment vertical="top" wrapText="1"/>
    </xf>
    <xf numFmtId="0" fontId="8" fillId="0" borderId="0" xfId="0" applyFont="1" applyFill="1" applyBorder="1" applyAlignment="1">
      <alignment horizontal="left" vertical="top" wrapText="1" indent="2"/>
    </xf>
    <xf numFmtId="0" fontId="8" fillId="0" borderId="0" xfId="0" applyFont="1" applyFill="1" applyBorder="1" applyAlignment="1">
      <alignment horizontal="left" indent="2"/>
    </xf>
    <xf numFmtId="0" fontId="0" fillId="0" borderId="0" xfId="0" applyAlignment="1">
      <alignment horizontal="right"/>
    </xf>
    <xf numFmtId="0" fontId="11" fillId="4" borderId="0" xfId="0" applyFont="1" applyFill="1" applyAlignment="1">
      <alignment horizontal="center"/>
    </xf>
    <xf numFmtId="0" fontId="11" fillId="0" borderId="10" xfId="0" applyFont="1" applyFill="1" applyBorder="1" applyAlignment="1">
      <alignment vertical="top" wrapText="1"/>
    </xf>
    <xf numFmtId="0" fontId="6" fillId="0" borderId="0" xfId="0" applyFont="1" applyFill="1"/>
    <xf numFmtId="0" fontId="19" fillId="0" borderId="0" xfId="0" applyFont="1" applyFill="1" applyBorder="1" applyAlignment="1">
      <alignment horizontal="left" vertical="center" indent="5" readingOrder="1"/>
    </xf>
    <xf numFmtId="0" fontId="8" fillId="0" borderId="0" xfId="0" applyFont="1" applyFill="1"/>
    <xf numFmtId="0" fontId="7" fillId="0" borderId="0" xfId="0" applyFont="1" applyFill="1"/>
    <xf numFmtId="9" fontId="20" fillId="0" borderId="0" xfId="3" applyFont="1" applyFill="1" applyBorder="1" applyAlignment="1">
      <alignment horizontal="righ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indent="3"/>
    </xf>
    <xf numFmtId="0" fontId="22" fillId="0" borderId="0" xfId="0" applyFont="1" applyFill="1" applyBorder="1" applyAlignment="1">
      <alignment horizontal="left" vertical="top" wrapText="1" indent="2"/>
    </xf>
    <xf numFmtId="0" fontId="21" fillId="0" borderId="0" xfId="0" applyFont="1" applyFill="1" applyBorder="1" applyAlignment="1">
      <alignment vertical="top" wrapText="1"/>
    </xf>
    <xf numFmtId="0" fontId="21" fillId="0" borderId="0" xfId="0" applyFont="1" applyFill="1" applyBorder="1"/>
    <xf numFmtId="0" fontId="12" fillId="2" borderId="0" xfId="0" applyFont="1" applyFill="1" applyBorder="1" applyAlignment="1">
      <alignment horizontal="left" wrapText="1"/>
    </xf>
    <xf numFmtId="0" fontId="12" fillId="0" borderId="8" xfId="0" applyFont="1" applyFill="1" applyBorder="1" applyAlignment="1">
      <alignment horizontal="left" wrapText="1" indent="2"/>
    </xf>
    <xf numFmtId="0" fontId="12" fillId="0" borderId="6" xfId="0" applyFont="1" applyFill="1" applyBorder="1" applyAlignment="1">
      <alignment horizontal="left" wrapText="1" indent="2"/>
    </xf>
    <xf numFmtId="166" fontId="11" fillId="0" borderId="10" xfId="0" applyNumberFormat="1" applyFont="1" applyFill="1" applyBorder="1" applyAlignment="1">
      <alignment horizontal="right" wrapText="1"/>
    </xf>
    <xf numFmtId="9" fontId="23" fillId="0" borderId="0" xfId="3" applyFont="1" applyFill="1" applyBorder="1" applyAlignment="1">
      <alignment horizontal="right" vertical="top" wrapText="1"/>
    </xf>
    <xf numFmtId="1" fontId="23" fillId="0" borderId="0" xfId="3" applyNumberFormat="1" applyFont="1" applyFill="1" applyBorder="1" applyAlignment="1">
      <alignment horizontal="right" wrapText="1"/>
    </xf>
    <xf numFmtId="0" fontId="12" fillId="0" borderId="6" xfId="0" applyFont="1" applyFill="1" applyBorder="1" applyAlignment="1">
      <alignment horizontal="left" vertical="top" wrapText="1"/>
    </xf>
    <xf numFmtId="0" fontId="11" fillId="0" borderId="0" xfId="0" applyFont="1" applyFill="1" applyBorder="1" applyAlignment="1">
      <alignment horizontal="left" vertical="top" wrapText="1"/>
    </xf>
    <xf numFmtId="166" fontId="12" fillId="0" borderId="0" xfId="0" applyNumberFormat="1" applyFont="1" applyFill="1" applyBorder="1" applyAlignment="1">
      <alignment horizontal="right" wrapText="1"/>
    </xf>
    <xf numFmtId="0" fontId="12" fillId="0" borderId="0" xfId="0" applyFont="1" applyFill="1" applyBorder="1" applyAlignment="1">
      <alignment vertical="top" wrapText="1"/>
    </xf>
    <xf numFmtId="169" fontId="12" fillId="0" borderId="0" xfId="3" applyNumberFormat="1" applyFont="1" applyFill="1" applyBorder="1" applyAlignment="1">
      <alignment horizontal="right" wrapText="1"/>
    </xf>
    <xf numFmtId="166" fontId="11" fillId="0" borderId="0" xfId="0" applyNumberFormat="1" applyFont="1" applyFill="1" applyBorder="1" applyAlignment="1">
      <alignment horizontal="right" wrapText="1"/>
    </xf>
    <xf numFmtId="0" fontId="11" fillId="0" borderId="13" xfId="0" applyFont="1" applyFill="1" applyBorder="1"/>
    <xf numFmtId="170" fontId="11" fillId="0" borderId="13" xfId="0" applyNumberFormat="1" applyFont="1" applyFill="1" applyBorder="1" applyAlignment="1">
      <alignment horizontal="right" wrapText="1"/>
    </xf>
    <xf numFmtId="0" fontId="11" fillId="0" borderId="0" xfId="0" applyFont="1" applyFill="1" applyBorder="1"/>
    <xf numFmtId="170" fontId="11" fillId="0" borderId="0" xfId="0" applyNumberFormat="1" applyFont="1" applyFill="1" applyBorder="1" applyAlignment="1">
      <alignment horizontal="right" wrapText="1"/>
    </xf>
    <xf numFmtId="0" fontId="10" fillId="0" borderId="0" xfId="0" applyFont="1" applyFill="1" applyBorder="1" applyAlignment="1">
      <alignment horizontal="left"/>
    </xf>
    <xf numFmtId="0" fontId="10" fillId="0" borderId="0" xfId="0" applyFont="1" applyFill="1" applyBorder="1" applyAlignment="1">
      <alignment horizontal="right"/>
    </xf>
    <xf numFmtId="0" fontId="11" fillId="2" borderId="10" xfId="0" applyFont="1" applyFill="1" applyBorder="1" applyAlignment="1">
      <alignment horizontal="left" wrapText="1"/>
    </xf>
    <xf numFmtId="167" fontId="11" fillId="0" borderId="10" xfId="6" applyNumberFormat="1" applyFont="1" applyFill="1" applyBorder="1" applyAlignment="1">
      <alignment horizontal="right" wrapText="1"/>
    </xf>
    <xf numFmtId="0" fontId="12" fillId="0" borderId="0" xfId="0" applyFont="1" applyFill="1" applyBorder="1" applyAlignment="1">
      <alignment horizontal="left" vertical="top" indent="2"/>
    </xf>
    <xf numFmtId="0" fontId="11" fillId="0" borderId="8" xfId="0" applyFont="1" applyFill="1" applyBorder="1"/>
    <xf numFmtId="170" fontId="11" fillId="0" borderId="8" xfId="0" applyNumberFormat="1" applyFont="1" applyFill="1" applyBorder="1" applyAlignment="1">
      <alignment horizontal="right" wrapText="1"/>
    </xf>
    <xf numFmtId="0" fontId="21" fillId="0" borderId="0" xfId="0" applyFont="1" applyFill="1" applyBorder="1" applyAlignment="1">
      <alignment horizontal="left" vertical="center" wrapText="1"/>
    </xf>
    <xf numFmtId="0" fontId="21" fillId="0" borderId="0" xfId="0" applyFont="1" applyFill="1" applyBorder="1" applyAlignment="1">
      <alignment wrapText="1"/>
    </xf>
    <xf numFmtId="0" fontId="22" fillId="0" borderId="0" xfId="0" applyFont="1" applyFill="1" applyBorder="1" applyAlignment="1">
      <alignment wrapText="1"/>
    </xf>
    <xf numFmtId="0" fontId="22" fillId="0" borderId="0" xfId="0" applyFont="1" applyFill="1" applyBorder="1" applyAlignment="1">
      <alignment horizontal="left" wrapText="1" indent="2"/>
    </xf>
    <xf numFmtId="0" fontId="24" fillId="0" borderId="0" xfId="0" applyFont="1" applyFill="1" applyBorder="1" applyAlignment="1">
      <alignment horizontal="left" vertical="top" wrapText="1"/>
    </xf>
    <xf numFmtId="0" fontId="0" fillId="0" borderId="0" xfId="0" applyBorder="1"/>
    <xf numFmtId="0" fontId="11" fillId="5" borderId="0" xfId="0" applyFont="1" applyFill="1" applyBorder="1" applyAlignment="1">
      <alignment horizontal="center"/>
    </xf>
    <xf numFmtId="0" fontId="22" fillId="2" borderId="0" xfId="0" applyFont="1" applyFill="1" applyBorder="1" applyAlignment="1">
      <alignment horizontal="left" vertical="top" wrapText="1" indent="2"/>
    </xf>
    <xf numFmtId="9" fontId="20" fillId="0" borderId="0" xfId="3" applyFont="1" applyFill="1" applyBorder="1" applyAlignment="1">
      <alignment horizontal="left" vertical="top" wrapText="1" indent="2"/>
    </xf>
    <xf numFmtId="0" fontId="24" fillId="0" borderId="0" xfId="0" applyFont="1" applyFill="1" applyBorder="1" applyAlignment="1">
      <alignment horizontal="left" vertical="top" wrapText="1" indent="5"/>
    </xf>
    <xf numFmtId="0" fontId="22" fillId="0" borderId="0" xfId="0" applyFont="1" applyFill="1" applyBorder="1" applyAlignment="1">
      <alignment horizontal="left" vertical="top" indent="2"/>
    </xf>
    <xf numFmtId="0" fontId="0" fillId="0" borderId="0" xfId="0" applyFill="1" applyBorder="1"/>
    <xf numFmtId="0" fontId="0" fillId="0" borderId="0" xfId="0" applyAlignment="1">
      <alignment horizontal="left"/>
    </xf>
    <xf numFmtId="0" fontId="6" fillId="0" borderId="0" xfId="0" applyFont="1" applyBorder="1" applyAlignment="1">
      <alignment horizontal="left"/>
    </xf>
    <xf numFmtId="0" fontId="0" fillId="0" borderId="0" xfId="0" applyBorder="1" applyAlignment="1">
      <alignment horizontal="left"/>
    </xf>
    <xf numFmtId="0" fontId="8" fillId="6" borderId="0" xfId="0" applyFont="1" applyFill="1" applyBorder="1" applyAlignment="1">
      <alignment horizontal="left"/>
    </xf>
    <xf numFmtId="0" fontId="0" fillId="6" borderId="0" xfId="0" applyFill="1" applyAlignment="1">
      <alignment horizontal="left"/>
    </xf>
    <xf numFmtId="0" fontId="6" fillId="6" borderId="0" xfId="0" applyFont="1" applyFill="1" applyBorder="1" applyAlignment="1">
      <alignment horizontal="left"/>
    </xf>
    <xf numFmtId="0" fontId="8" fillId="7" borderId="0" xfId="0" applyFont="1" applyFill="1" applyBorder="1" applyAlignment="1">
      <alignment horizontal="left"/>
    </xf>
    <xf numFmtId="0" fontId="0" fillId="7" borderId="0" xfId="0" applyFill="1" applyAlignment="1">
      <alignment horizontal="left"/>
    </xf>
    <xf numFmtId="0" fontId="6" fillId="7" borderId="0" xfId="0" applyFont="1" applyFill="1" applyBorder="1" applyAlignment="1">
      <alignment horizontal="left"/>
    </xf>
    <xf numFmtId="0" fontId="8" fillId="8" borderId="0" xfId="0" applyFont="1" applyFill="1" applyBorder="1" applyAlignment="1">
      <alignment horizontal="left"/>
    </xf>
    <xf numFmtId="0" fontId="0" fillId="8" borderId="0" xfId="0" applyFill="1" applyAlignment="1">
      <alignment horizontal="left"/>
    </xf>
    <xf numFmtId="0" fontId="6" fillId="8" borderId="0" xfId="0" applyFont="1" applyFill="1" applyBorder="1" applyAlignment="1">
      <alignment horizontal="left"/>
    </xf>
    <xf numFmtId="0" fontId="8" fillId="9" borderId="0" xfId="0" applyFont="1" applyFill="1" applyBorder="1" applyAlignment="1">
      <alignment horizontal="left"/>
    </xf>
    <xf numFmtId="0" fontId="0" fillId="9" borderId="0" xfId="0" applyFill="1" applyAlignment="1">
      <alignment horizontal="left"/>
    </xf>
    <xf numFmtId="0" fontId="6" fillId="9" borderId="0" xfId="0" applyFont="1" applyFill="1" applyBorder="1" applyAlignment="1">
      <alignment horizontal="left"/>
    </xf>
    <xf numFmtId="0" fontId="11" fillId="4" borderId="0" xfId="0" applyFont="1" applyFill="1" applyBorder="1" applyAlignment="1">
      <alignment horizontal="center"/>
    </xf>
    <xf numFmtId="0" fontId="0" fillId="6" borderId="0" xfId="0" applyFill="1"/>
    <xf numFmtId="0" fontId="0" fillId="7" borderId="0" xfId="0" applyFill="1"/>
    <xf numFmtId="0" fontId="11" fillId="10" borderId="0" xfId="0" applyFont="1" applyFill="1" applyAlignment="1">
      <alignment horizontal="center"/>
    </xf>
    <xf numFmtId="0" fontId="11" fillId="11" borderId="0" xfId="0" applyFont="1" applyFill="1" applyAlignment="1">
      <alignment horizontal="center"/>
    </xf>
    <xf numFmtId="0" fontId="11" fillId="13" borderId="0" xfId="0" applyFont="1" applyFill="1" applyAlignment="1">
      <alignment horizontal="center"/>
    </xf>
    <xf numFmtId="0" fontId="26" fillId="0" borderId="0" xfId="0" applyFont="1" applyBorder="1"/>
    <xf numFmtId="0" fontId="27" fillId="0" borderId="0" xfId="0" applyFont="1" applyFill="1" applyBorder="1" applyAlignment="1">
      <alignment horizontal="left" vertical="top" wrapText="1" indent="3"/>
    </xf>
    <xf numFmtId="0" fontId="21" fillId="0" borderId="0" xfId="0" applyFont="1"/>
    <xf numFmtId="0" fontId="22" fillId="0" borderId="0" xfId="0" applyFont="1" applyAlignment="1">
      <alignment horizontal="left" wrapText="1" indent="2"/>
    </xf>
    <xf numFmtId="0" fontId="6" fillId="0" borderId="0" xfId="0" applyFont="1" applyBorder="1" applyAlignment="1">
      <alignment vertical="top"/>
    </xf>
    <xf numFmtId="0" fontId="28" fillId="0" borderId="0" xfId="0" applyFont="1" applyFill="1" applyBorder="1" applyAlignment="1">
      <alignment horizontal="left" vertical="top" wrapText="1" indent="2"/>
    </xf>
    <xf numFmtId="0" fontId="28" fillId="0" borderId="0" xfId="0" applyFont="1" applyFill="1" applyBorder="1"/>
    <xf numFmtId="0" fontId="7" fillId="0" borderId="0" xfId="0" applyFont="1" applyBorder="1" applyAlignment="1">
      <alignment horizontal="left"/>
    </xf>
    <xf numFmtId="0" fontId="7" fillId="0" borderId="0" xfId="0" applyFont="1" applyBorder="1"/>
    <xf numFmtId="0" fontId="22" fillId="0" borderId="0" xfId="0" applyFont="1" applyFill="1" applyBorder="1" applyAlignment="1">
      <alignment horizontal="left" vertical="top" wrapText="1"/>
    </xf>
    <xf numFmtId="0" fontId="20" fillId="0" borderId="0" xfId="0" applyFont="1" applyFill="1" applyBorder="1"/>
    <xf numFmtId="0" fontId="8" fillId="14" borderId="0" xfId="0" applyFont="1" applyFill="1" applyBorder="1" applyAlignment="1">
      <alignment horizontal="left"/>
    </xf>
    <xf numFmtId="0" fontId="0" fillId="14" borderId="0" xfId="0" applyFill="1" applyAlignment="1">
      <alignment horizontal="left"/>
    </xf>
    <xf numFmtId="0" fontId="6" fillId="14" borderId="0" xfId="0" applyFont="1" applyFill="1" applyBorder="1" applyAlignment="1">
      <alignment horizontal="left"/>
    </xf>
    <xf numFmtId="0" fontId="8" fillId="15" borderId="0" xfId="0" applyFont="1" applyFill="1" applyBorder="1" applyAlignment="1">
      <alignment horizontal="left"/>
    </xf>
    <xf numFmtId="0" fontId="0" fillId="15" borderId="0" xfId="0" applyFill="1" applyAlignment="1">
      <alignment horizontal="left"/>
    </xf>
    <xf numFmtId="0" fontId="6" fillId="15" borderId="0" xfId="0" applyFont="1" applyFill="1" applyBorder="1" applyAlignment="1">
      <alignment horizontal="left"/>
    </xf>
    <xf numFmtId="0" fontId="11" fillId="16" borderId="0" xfId="0" applyFont="1" applyFill="1" applyBorder="1" applyAlignment="1">
      <alignment horizontal="center"/>
    </xf>
    <xf numFmtId="0" fontId="11" fillId="17" borderId="0" xfId="0" applyFont="1" applyFill="1" applyBorder="1" applyAlignment="1">
      <alignment horizontal="center"/>
    </xf>
    <xf numFmtId="0" fontId="29" fillId="0" borderId="0" xfId="0" applyFont="1"/>
    <xf numFmtId="9" fontId="20" fillId="0" borderId="0" xfId="0" applyNumberFormat="1" applyFont="1" applyFill="1" applyBorder="1" applyAlignment="1">
      <alignment horizontal="left" vertical="top" wrapText="1" indent="2"/>
    </xf>
    <xf numFmtId="0" fontId="30" fillId="0" borderId="0" xfId="0" applyFont="1" applyFill="1" applyAlignment="1">
      <alignment vertical="center"/>
    </xf>
    <xf numFmtId="0" fontId="10" fillId="3" borderId="2" xfId="0" applyFont="1" applyFill="1" applyBorder="1" applyAlignment="1">
      <alignment horizontal="left"/>
    </xf>
    <xf numFmtId="0" fontId="10" fillId="3" borderId="2" xfId="0" applyFont="1" applyFill="1" applyBorder="1" applyAlignment="1">
      <alignment horizontal="right"/>
    </xf>
    <xf numFmtId="0" fontId="19" fillId="0" borderId="0" xfId="0" applyFont="1" applyAlignment="1">
      <alignment horizontal="left" vertical="center" indent="5" readingOrder="1"/>
    </xf>
    <xf numFmtId="0" fontId="7" fillId="0" borderId="8" xfId="0" applyFont="1" applyBorder="1" applyAlignment="1">
      <alignment horizontal="left"/>
    </xf>
    <xf numFmtId="0" fontId="25" fillId="0" borderId="0" xfId="0" applyFont="1" applyAlignment="1">
      <alignment horizontal="left"/>
    </xf>
    <xf numFmtId="0" fontId="26" fillId="0" borderId="0" xfId="0" applyFont="1"/>
    <xf numFmtId="0" fontId="8" fillId="0" borderId="3" xfId="0" applyFont="1" applyBorder="1" applyAlignment="1">
      <alignment horizontal="left"/>
    </xf>
    <xf numFmtId="0" fontId="32" fillId="0" borderId="0" xfId="0" applyFont="1" applyAlignment="1">
      <alignment horizontal="left"/>
    </xf>
    <xf numFmtId="0" fontId="8" fillId="0" borderId="0" xfId="0" applyFont="1" applyFill="1" applyAlignment="1">
      <alignment horizontal="left"/>
    </xf>
    <xf numFmtId="0" fontId="32" fillId="0" borderId="0" xfId="0" applyFont="1" applyFill="1" applyAlignment="1">
      <alignment horizontal="left"/>
    </xf>
    <xf numFmtId="0" fontId="11" fillId="5" borderId="0" xfId="0" applyFont="1" applyFill="1" applyAlignment="1">
      <alignment horizontal="center"/>
    </xf>
    <xf numFmtId="0" fontId="31" fillId="0" borderId="3" xfId="0" applyFont="1" applyBorder="1" applyAlignment="1">
      <alignment horizontal="right"/>
    </xf>
    <xf numFmtId="0" fontId="31" fillId="0" borderId="0" xfId="0" applyFont="1" applyAlignment="1">
      <alignment horizontal="left"/>
    </xf>
    <xf numFmtId="0" fontId="31" fillId="0" borderId="0" xfId="0" applyFont="1"/>
    <xf numFmtId="0" fontId="31" fillId="0" borderId="0" xfId="0" applyFont="1" applyFill="1" applyAlignment="1">
      <alignment horizontal="left"/>
    </xf>
    <xf numFmtId="0" fontId="31" fillId="0" borderId="0" xfId="0" applyFont="1" applyFill="1"/>
    <xf numFmtId="0" fontId="34" fillId="0" borderId="0" xfId="0" applyFont="1"/>
    <xf numFmtId="0" fontId="11" fillId="0" borderId="3" xfId="0" applyFont="1" applyBorder="1" applyAlignment="1">
      <alignment horizontal="left"/>
    </xf>
    <xf numFmtId="0" fontId="0" fillId="0" borderId="3" xfId="0" applyBorder="1"/>
    <xf numFmtId="0" fontId="9" fillId="0" borderId="0" xfId="0" applyFont="1" applyBorder="1" applyAlignment="1">
      <alignment horizontal="left" vertical="center" wrapText="1"/>
    </xf>
    <xf numFmtId="0" fontId="7" fillId="0" borderId="0" xfId="0" applyFont="1" applyFill="1" applyBorder="1" applyAlignment="1">
      <alignment vertical="center" wrapText="1"/>
    </xf>
    <xf numFmtId="0" fontId="7" fillId="0" borderId="0" xfId="0" applyFont="1" applyBorder="1" applyAlignment="1">
      <alignment vertical="center" wrapText="1"/>
    </xf>
    <xf numFmtId="0" fontId="35" fillId="0" borderId="0" xfId="0" applyFont="1" applyBorder="1" applyAlignment="1">
      <alignment horizontal="left" vertical="center" wrapText="1"/>
    </xf>
    <xf numFmtId="0" fontId="9" fillId="0" borderId="1" xfId="0" applyFont="1" applyFill="1" applyBorder="1" applyAlignment="1">
      <alignment horizontal="left"/>
    </xf>
    <xf numFmtId="0" fontId="7" fillId="0" borderId="1" xfId="0" applyFont="1" applyBorder="1" applyAlignment="1">
      <alignment horizontal="left"/>
    </xf>
    <xf numFmtId="0" fontId="7" fillId="0" borderId="1" xfId="0" applyFont="1" applyBorder="1"/>
    <xf numFmtId="0" fontId="7" fillId="0" borderId="8" xfId="0" applyFont="1" applyBorder="1" applyAlignment="1">
      <alignment horizontal="left" indent="1"/>
    </xf>
    <xf numFmtId="0" fontId="7" fillId="0" borderId="5" xfId="0" applyFont="1" applyBorder="1" applyAlignment="1">
      <alignment horizontal="left" indent="1"/>
    </xf>
    <xf numFmtId="0" fontId="25" fillId="0" borderId="5" xfId="0" applyFont="1" applyBorder="1" applyAlignment="1">
      <alignment horizontal="left" indent="2"/>
    </xf>
    <xf numFmtId="0" fontId="7" fillId="0" borderId="16" xfId="0" applyFont="1" applyBorder="1" applyAlignment="1">
      <alignment horizontal="left" indent="1"/>
    </xf>
    <xf numFmtId="0" fontId="7" fillId="0" borderId="16" xfId="0" applyFont="1" applyBorder="1" applyAlignment="1">
      <alignment horizontal="left"/>
    </xf>
    <xf numFmtId="0" fontId="9" fillId="0" borderId="0" xfId="0" applyFont="1" applyFill="1" applyBorder="1" applyAlignment="1">
      <alignment horizontal="left"/>
    </xf>
    <xf numFmtId="0" fontId="7" fillId="0" borderId="8" xfId="0" applyFont="1" applyFill="1" applyBorder="1" applyAlignment="1">
      <alignment horizontal="left" indent="1"/>
    </xf>
    <xf numFmtId="0" fontId="7" fillId="0" borderId="5" xfId="0" applyFont="1" applyFill="1" applyBorder="1" applyAlignment="1">
      <alignment horizontal="left" indent="1"/>
    </xf>
    <xf numFmtId="0" fontId="12" fillId="0" borderId="0" xfId="0" applyFont="1" applyBorder="1"/>
    <xf numFmtId="0" fontId="11" fillId="19" borderId="0" xfId="0" applyFont="1" applyFill="1" applyAlignment="1">
      <alignment horizontal="center"/>
    </xf>
    <xf numFmtId="0" fontId="37" fillId="0" borderId="0" xfId="0" applyFont="1" applyFill="1" applyBorder="1" applyAlignment="1">
      <alignment horizontal="left"/>
    </xf>
    <xf numFmtId="0" fontId="31" fillId="0" borderId="0" xfId="0" applyFont="1" applyFill="1" applyBorder="1" applyAlignment="1">
      <alignment horizontal="left"/>
    </xf>
    <xf numFmtId="0" fontId="37" fillId="0" borderId="0" xfId="0" applyFont="1" applyBorder="1" applyAlignment="1">
      <alignment horizontal="left"/>
    </xf>
    <xf numFmtId="0" fontId="31" fillId="0" borderId="0" xfId="0" applyFont="1" applyBorder="1" applyAlignment="1">
      <alignment horizontal="left" indent="1"/>
    </xf>
    <xf numFmtId="0" fontId="38" fillId="0" borderId="0" xfId="0" applyFont="1" applyBorder="1" applyAlignment="1">
      <alignment horizontal="left" indent="2"/>
    </xf>
    <xf numFmtId="0" fontId="38" fillId="0" borderId="0" xfId="0" applyFont="1" applyFill="1" applyBorder="1" applyAlignment="1">
      <alignment horizontal="left"/>
    </xf>
    <xf numFmtId="0" fontId="31" fillId="0" borderId="0" xfId="0" applyFont="1" applyFill="1" applyBorder="1" applyAlignment="1">
      <alignment horizontal="left" indent="1"/>
    </xf>
    <xf numFmtId="0" fontId="38" fillId="0" borderId="0" xfId="0" applyFont="1" applyFill="1" applyBorder="1" applyAlignment="1">
      <alignment horizontal="left" indent="1"/>
    </xf>
    <xf numFmtId="0" fontId="39" fillId="0" borderId="0" xfId="0" applyFont="1" applyAlignment="1">
      <alignment horizontal="left"/>
    </xf>
    <xf numFmtId="0" fontId="25" fillId="0" borderId="8" xfId="0" applyFont="1" applyBorder="1" applyAlignment="1">
      <alignment horizontal="left" indent="1"/>
    </xf>
    <xf numFmtId="0" fontId="7" fillId="0" borderId="11" xfId="0" applyFont="1" applyBorder="1" applyAlignment="1">
      <alignment horizontal="left"/>
    </xf>
    <xf numFmtId="0" fontId="38" fillId="0" borderId="0" xfId="0" applyFont="1" applyAlignment="1">
      <alignment horizontal="left"/>
    </xf>
    <xf numFmtId="0" fontId="40" fillId="0" borderId="0" xfId="0" applyFont="1" applyAlignment="1">
      <alignment horizontal="left"/>
    </xf>
    <xf numFmtId="0" fontId="39" fillId="0" borderId="0" xfId="0" applyFont="1" applyAlignment="1">
      <alignment horizontal="left" indent="1"/>
    </xf>
    <xf numFmtId="0" fontId="40" fillId="0" borderId="0" xfId="0" applyFont="1" applyFill="1" applyAlignment="1">
      <alignment horizontal="left"/>
    </xf>
    <xf numFmtId="0" fontId="11" fillId="20" borderId="0" xfId="0" applyFont="1" applyFill="1" applyAlignment="1">
      <alignment horizontal="center"/>
    </xf>
    <xf numFmtId="0" fontId="26" fillId="0" borderId="3" xfId="0" applyFont="1" applyBorder="1"/>
    <xf numFmtId="0" fontId="27" fillId="0" borderId="0" xfId="0" applyFont="1" applyBorder="1"/>
    <xf numFmtId="0" fontId="41" fillId="0" borderId="0" xfId="0" applyFont="1"/>
    <xf numFmtId="0" fontId="42" fillId="12" borderId="0" xfId="0" applyFont="1" applyFill="1" applyAlignment="1">
      <alignment horizontal="left"/>
    </xf>
    <xf numFmtId="0" fontId="31" fillId="12" borderId="0" xfId="0" applyFont="1" applyFill="1" applyBorder="1" applyAlignment="1">
      <alignment horizontal="left"/>
    </xf>
    <xf numFmtId="0" fontId="37" fillId="12" borderId="0" xfId="0" applyFont="1" applyFill="1" applyBorder="1" applyAlignment="1">
      <alignment horizontal="left"/>
    </xf>
    <xf numFmtId="0" fontId="0" fillId="12" borderId="0" xfId="0" applyFill="1"/>
    <xf numFmtId="0" fontId="38" fillId="12" borderId="3" xfId="0" applyFont="1" applyFill="1" applyBorder="1" applyAlignment="1">
      <alignment horizontal="left" indent="1"/>
    </xf>
    <xf numFmtId="0" fontId="38" fillId="12" borderId="3" xfId="0" applyFont="1" applyFill="1" applyBorder="1" applyAlignment="1">
      <alignment horizontal="left"/>
    </xf>
    <xf numFmtId="0" fontId="7" fillId="0" borderId="0" xfId="0" applyFont="1" applyBorder="1" applyAlignment="1">
      <alignment horizontal="left" indent="1"/>
    </xf>
    <xf numFmtId="171" fontId="23" fillId="18" borderId="0" xfId="6" applyNumberFormat="1" applyFont="1" applyFill="1" applyBorder="1" applyAlignment="1">
      <alignment horizontal="right" wrapText="1"/>
    </xf>
    <xf numFmtId="0" fontId="7" fillId="0" borderId="19" xfId="0" applyFont="1" applyBorder="1" applyAlignment="1">
      <alignment horizontal="left" indent="1"/>
    </xf>
    <xf numFmtId="0" fontId="11" fillId="14" borderId="0" xfId="0" applyFont="1" applyFill="1" applyAlignment="1">
      <alignment horizontal="center"/>
    </xf>
    <xf numFmtId="0" fontId="0" fillId="0" borderId="0" xfId="0" applyAlignment="1"/>
    <xf numFmtId="0" fontId="6" fillId="21" borderId="0" xfId="0" applyFont="1" applyFill="1"/>
    <xf numFmtId="0" fontId="43" fillId="0" borderId="0" xfId="0" applyFont="1"/>
    <xf numFmtId="0" fontId="44" fillId="0" borderId="0" xfId="0" applyFont="1"/>
    <xf numFmtId="0" fontId="34" fillId="0" borderId="0" xfId="0" applyFont="1" applyAlignment="1">
      <alignment horizontal="left" indent="1"/>
    </xf>
    <xf numFmtId="0" fontId="34" fillId="22" borderId="0" xfId="0" applyFont="1" applyFill="1"/>
    <xf numFmtId="0" fontId="34" fillId="23" borderId="0" xfId="0" applyFont="1" applyFill="1"/>
    <xf numFmtId="0" fontId="34" fillId="24" borderId="0" xfId="0" applyFont="1" applyFill="1"/>
    <xf numFmtId="167" fontId="40" fillId="0" borderId="8" xfId="6" applyNumberFormat="1" applyFont="1" applyFill="1" applyBorder="1" applyAlignment="1">
      <alignment horizontal="right" wrapText="1"/>
    </xf>
    <xf numFmtId="0" fontId="31" fillId="0" borderId="0" xfId="0" applyFont="1" applyFill="1" applyBorder="1"/>
    <xf numFmtId="166" fontId="40" fillId="0" borderId="6" xfId="0" applyNumberFormat="1" applyFont="1" applyFill="1" applyBorder="1" applyAlignment="1">
      <alignment horizontal="right" wrapText="1"/>
    </xf>
    <xf numFmtId="169" fontId="45" fillId="0" borderId="0" xfId="3" applyNumberFormat="1" applyFont="1" applyFill="1" applyBorder="1" applyAlignment="1">
      <alignment horizontal="right" wrapText="1"/>
    </xf>
    <xf numFmtId="166" fontId="40" fillId="0" borderId="0" xfId="0" applyNumberFormat="1" applyFont="1" applyFill="1" applyBorder="1" applyAlignment="1">
      <alignment horizontal="right" wrapText="1"/>
    </xf>
    <xf numFmtId="167" fontId="40" fillId="0" borderId="5" xfId="6" applyNumberFormat="1" applyFont="1" applyFill="1" applyBorder="1" applyAlignment="1">
      <alignment horizontal="right" vertical="top" wrapText="1"/>
    </xf>
    <xf numFmtId="0" fontId="40" fillId="0" borderId="0" xfId="0" applyFont="1" applyFill="1" applyBorder="1"/>
    <xf numFmtId="167" fontId="40" fillId="0" borderId="0" xfId="6" applyNumberFormat="1" applyFont="1" applyFill="1" applyBorder="1" applyAlignment="1">
      <alignment horizontal="right" vertical="top" wrapText="1"/>
    </xf>
    <xf numFmtId="0" fontId="40" fillId="0" borderId="0" xfId="0" applyFont="1"/>
    <xf numFmtId="167" fontId="40" fillId="0" borderId="8" xfId="6" applyNumberFormat="1" applyFont="1" applyFill="1" applyBorder="1" applyAlignment="1">
      <alignment horizontal="right" vertical="top" wrapText="1"/>
    </xf>
    <xf numFmtId="0" fontId="14" fillId="0" borderId="0" xfId="0" applyFont="1" applyFill="1" applyBorder="1" applyAlignment="1"/>
    <xf numFmtId="0" fontId="46" fillId="0" borderId="0" xfId="1" applyFont="1" applyAlignment="1">
      <alignment horizontal="left" indent="1"/>
    </xf>
    <xf numFmtId="0" fontId="47" fillId="0" borderId="0" xfId="0" applyFont="1"/>
    <xf numFmtId="0" fontId="46" fillId="0" borderId="4" xfId="1" applyFont="1" applyFill="1" applyBorder="1" applyAlignment="1">
      <alignment horizontal="center"/>
    </xf>
    <xf numFmtId="0" fontId="46" fillId="0" borderId="0" xfId="1" applyFont="1" applyAlignment="1">
      <alignment horizontal="center"/>
    </xf>
    <xf numFmtId="174" fontId="16" fillId="0" borderId="0" xfId="0" applyNumberFormat="1" applyFont="1"/>
    <xf numFmtId="0" fontId="31" fillId="0" borderId="0" xfId="0" applyFont="1" applyFill="1" applyAlignment="1">
      <alignment horizontal="left" wrapText="1"/>
    </xf>
    <xf numFmtId="0" fontId="39" fillId="0" borderId="0" xfId="0" applyFont="1" applyFill="1" applyAlignment="1">
      <alignment horizontal="left" indent="1"/>
    </xf>
    <xf numFmtId="0" fontId="38" fillId="0" borderId="0" xfId="0" applyFont="1" applyFill="1" applyAlignment="1">
      <alignment horizontal="left"/>
    </xf>
    <xf numFmtId="0" fontId="49" fillId="0" borderId="0" xfId="0" applyFont="1" applyAlignment="1">
      <alignment horizontal="left"/>
    </xf>
    <xf numFmtId="170" fontId="13" fillId="18" borderId="5" xfId="0" applyNumberFormat="1" applyFont="1" applyFill="1" applyBorder="1" applyAlignment="1">
      <alignment horizontal="right" wrapText="1"/>
    </xf>
    <xf numFmtId="173" fontId="13" fillId="18" borderId="16" xfId="0" applyNumberFormat="1" applyFont="1" applyFill="1" applyBorder="1" applyAlignment="1">
      <alignment horizontal="right" wrapText="1"/>
    </xf>
    <xf numFmtId="0" fontId="40" fillId="25" borderId="3" xfId="0" applyFont="1" applyFill="1" applyBorder="1" applyAlignment="1">
      <alignment horizontal="left"/>
    </xf>
    <xf numFmtId="0" fontId="31" fillId="25" borderId="3" xfId="0" applyFont="1" applyFill="1" applyBorder="1" applyAlignment="1">
      <alignment horizontal="left"/>
    </xf>
    <xf numFmtId="0" fontId="49" fillId="25" borderId="3" xfId="0" applyFont="1" applyFill="1" applyBorder="1" applyAlignment="1">
      <alignment horizontal="left"/>
    </xf>
    <xf numFmtId="170" fontId="13" fillId="18" borderId="16" xfId="0" applyNumberFormat="1" applyFont="1" applyFill="1" applyBorder="1" applyAlignment="1">
      <alignment horizontal="right" wrapText="1"/>
    </xf>
    <xf numFmtId="0" fontId="48" fillId="0" borderId="0" xfId="0" applyFont="1" applyFill="1" applyAlignment="1">
      <alignment horizontal="center" vertical="center"/>
    </xf>
    <xf numFmtId="0" fontId="7" fillId="0" borderId="0" xfId="0" applyFont="1" applyFill="1" applyBorder="1" applyAlignment="1">
      <alignment horizontal="left" vertical="center" wrapText="1"/>
    </xf>
    <xf numFmtId="0" fontId="8" fillId="18" borderId="0" xfId="0" applyFont="1" applyFill="1"/>
    <xf numFmtId="167" fontId="11" fillId="18" borderId="0" xfId="6" applyNumberFormat="1" applyFont="1" applyFill="1" applyBorder="1" applyAlignment="1">
      <alignment horizontal="right" wrapText="1"/>
    </xf>
    <xf numFmtId="0" fontId="11" fillId="18" borderId="0" xfId="0" applyFont="1" applyFill="1" applyBorder="1" applyAlignment="1">
      <alignment horizontal="left" vertical="center" wrapText="1"/>
    </xf>
    <xf numFmtId="167" fontId="7" fillId="0" borderId="0" xfId="0" applyNumberFormat="1" applyFont="1" applyBorder="1"/>
    <xf numFmtId="167" fontId="6" fillId="0" borderId="0" xfId="0" applyNumberFormat="1" applyFont="1"/>
    <xf numFmtId="0" fontId="46" fillId="0" borderId="17" xfId="1" applyFont="1" applyFill="1" applyBorder="1" applyAlignment="1">
      <alignment horizontal="center"/>
    </xf>
    <xf numFmtId="0" fontId="25" fillId="0" borderId="0" xfId="0" applyFont="1" applyFill="1" applyBorder="1" applyAlignment="1">
      <alignment horizontal="center"/>
    </xf>
    <xf numFmtId="0" fontId="8" fillId="0" borderId="0" xfId="0" applyFont="1" applyFill="1" applyAlignment="1">
      <alignment horizontal="right"/>
    </xf>
    <xf numFmtId="0" fontId="6" fillId="0" borderId="0" xfId="0" applyFont="1" applyFill="1" applyAlignment="1">
      <alignment horizontal="right"/>
    </xf>
    <xf numFmtId="0" fontId="8" fillId="0" borderId="0" xfId="0" applyFont="1" applyAlignment="1">
      <alignment vertical="top" wrapText="1"/>
    </xf>
    <xf numFmtId="0" fontId="8" fillId="0" borderId="0" xfId="0" applyFont="1" applyFill="1" applyAlignment="1">
      <alignment vertical="top" wrapText="1"/>
    </xf>
    <xf numFmtId="0" fontId="22" fillId="0" borderId="0" xfId="0" applyFont="1" applyFill="1" applyAlignment="1">
      <alignment horizontal="left" wrapText="1" indent="2"/>
    </xf>
    <xf numFmtId="0" fontId="0" fillId="0" borderId="0" xfId="0" applyFill="1"/>
    <xf numFmtId="0" fontId="25" fillId="0" borderId="5" xfId="0" applyFont="1" applyFill="1" applyBorder="1" applyAlignment="1">
      <alignment horizontal="left" indent="2"/>
    </xf>
    <xf numFmtId="0" fontId="31" fillId="0" borderId="0" xfId="0" applyFont="1" applyBorder="1" applyAlignment="1">
      <alignment horizontal="right"/>
    </xf>
    <xf numFmtId="0" fontId="14" fillId="0" borderId="0" xfId="0" applyFont="1"/>
    <xf numFmtId="0" fontId="13" fillId="0" borderId="5" xfId="0" applyFont="1" applyBorder="1"/>
    <xf numFmtId="1" fontId="13" fillId="0" borderId="5" xfId="0" applyNumberFormat="1" applyFont="1" applyBorder="1"/>
    <xf numFmtId="173" fontId="13" fillId="18" borderId="5" xfId="0" applyNumberFormat="1" applyFont="1" applyFill="1" applyBorder="1" applyAlignment="1">
      <alignment horizontal="right" wrapText="1"/>
    </xf>
    <xf numFmtId="9" fontId="50" fillId="18" borderId="5" xfId="3" applyFont="1" applyFill="1" applyBorder="1" applyAlignment="1">
      <alignment horizontal="right" wrapText="1"/>
    </xf>
    <xf numFmtId="9" fontId="50" fillId="18" borderId="16" xfId="3" applyFont="1" applyFill="1" applyBorder="1" applyAlignment="1">
      <alignment horizontal="right" wrapText="1"/>
    </xf>
    <xf numFmtId="0" fontId="13" fillId="0" borderId="5" xfId="0" applyFont="1" applyBorder="1" applyAlignment="1">
      <alignment horizontal="right"/>
    </xf>
    <xf numFmtId="172" fontId="13" fillId="0" borderId="5" xfId="0" applyNumberFormat="1" applyFont="1" applyBorder="1"/>
    <xf numFmtId="169" fontId="13" fillId="18" borderId="11" xfId="3" applyNumberFormat="1" applyFont="1" applyFill="1" applyBorder="1" applyAlignment="1">
      <alignment horizontal="right" wrapText="1"/>
    </xf>
    <xf numFmtId="0" fontId="48" fillId="0" borderId="0" xfId="0" applyFont="1" applyFill="1" applyAlignment="1">
      <alignment horizontal="center" vertical="center"/>
    </xf>
    <xf numFmtId="0" fontId="25" fillId="0" borderId="0" xfId="0" applyFont="1" applyBorder="1" applyAlignment="1">
      <alignment horizontal="left"/>
    </xf>
    <xf numFmtId="0" fontId="7" fillId="0" borderId="0"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27" borderId="1" xfId="0" applyFont="1" applyFill="1" applyBorder="1" applyAlignment="1">
      <alignment horizontal="right"/>
    </xf>
    <xf numFmtId="0" fontId="10" fillId="27" borderId="0" xfId="0" applyFont="1" applyFill="1" applyBorder="1" applyAlignment="1">
      <alignment horizontal="right"/>
    </xf>
    <xf numFmtId="0" fontId="10" fillId="27" borderId="24" xfId="0" applyFont="1" applyFill="1" applyBorder="1" applyAlignment="1">
      <alignment horizontal="right"/>
    </xf>
    <xf numFmtId="0" fontId="48" fillId="0" borderId="0" xfId="0" applyFont="1" applyFill="1" applyAlignment="1">
      <alignment vertical="center"/>
    </xf>
    <xf numFmtId="0" fontId="26" fillId="0" borderId="0" xfId="0" applyFont="1" applyAlignment="1">
      <alignment wrapText="1"/>
    </xf>
    <xf numFmtId="0" fontId="48" fillId="0" borderId="0" xfId="0" applyFont="1" applyFill="1" applyAlignment="1">
      <alignment horizontal="center" vertical="center"/>
    </xf>
    <xf numFmtId="0" fontId="10" fillId="3" borderId="0" xfId="0" applyFont="1" applyFill="1" applyBorder="1" applyAlignment="1">
      <alignment horizontal="right"/>
    </xf>
    <xf numFmtId="0" fontId="30" fillId="18" borderId="0" xfId="0" applyFont="1" applyFill="1" applyAlignment="1">
      <alignment vertical="center"/>
    </xf>
    <xf numFmtId="0" fontId="48" fillId="18" borderId="0" xfId="0" applyFont="1" applyFill="1" applyAlignment="1">
      <alignment horizontal="center" vertical="center"/>
    </xf>
    <xf numFmtId="0" fontId="6" fillId="18" borderId="0" xfId="0" applyFont="1" applyFill="1"/>
    <xf numFmtId="0" fontId="10" fillId="18" borderId="0" xfId="0" applyFont="1" applyFill="1" applyBorder="1" applyAlignment="1">
      <alignment horizontal="right"/>
    </xf>
    <xf numFmtId="167" fontId="40" fillId="18" borderId="0" xfId="6" applyNumberFormat="1" applyFont="1" applyFill="1" applyBorder="1" applyAlignment="1">
      <alignment horizontal="right" wrapText="1"/>
    </xf>
    <xf numFmtId="167" fontId="12" fillId="18" borderId="0" xfId="6" applyNumberFormat="1" applyFont="1" applyFill="1" applyBorder="1" applyAlignment="1">
      <alignment horizontal="right" wrapText="1"/>
    </xf>
    <xf numFmtId="166" fontId="11" fillId="18" borderId="0" xfId="0" applyNumberFormat="1" applyFont="1" applyFill="1" applyBorder="1" applyAlignment="1">
      <alignment horizontal="right" wrapText="1"/>
    </xf>
    <xf numFmtId="1" fontId="23" fillId="18" borderId="0" xfId="3" applyNumberFormat="1" applyFont="1" applyFill="1" applyBorder="1" applyAlignment="1">
      <alignment horizontal="right" wrapText="1"/>
    </xf>
    <xf numFmtId="166" fontId="40" fillId="18" borderId="0" xfId="0" applyNumberFormat="1" applyFont="1" applyFill="1" applyBorder="1" applyAlignment="1">
      <alignment horizontal="right" wrapText="1"/>
    </xf>
    <xf numFmtId="169" fontId="45" fillId="18" borderId="0" xfId="3" applyNumberFormat="1" applyFont="1" applyFill="1" applyBorder="1" applyAlignment="1">
      <alignment horizontal="right" wrapText="1"/>
    </xf>
    <xf numFmtId="167" fontId="40" fillId="18" borderId="0" xfId="6" applyNumberFormat="1" applyFont="1" applyFill="1" applyBorder="1" applyAlignment="1">
      <alignment horizontal="right" vertical="top" wrapText="1"/>
    </xf>
    <xf numFmtId="166" fontId="12" fillId="18" borderId="0" xfId="0" applyNumberFormat="1" applyFont="1" applyFill="1" applyBorder="1" applyAlignment="1">
      <alignment horizontal="right" wrapText="1"/>
    </xf>
    <xf numFmtId="169" fontId="12" fillId="18" borderId="0" xfId="3" applyNumberFormat="1" applyFont="1" applyFill="1" applyBorder="1" applyAlignment="1">
      <alignment horizontal="right" wrapText="1"/>
    </xf>
    <xf numFmtId="170" fontId="11" fillId="18" borderId="0" xfId="0" applyNumberFormat="1" applyFont="1" applyFill="1" applyBorder="1" applyAlignment="1">
      <alignment horizontal="right" wrapText="1"/>
    </xf>
    <xf numFmtId="0" fontId="7" fillId="18" borderId="0" xfId="0" applyFont="1" applyFill="1"/>
    <xf numFmtId="0" fontId="1" fillId="0" borderId="0" xfId="0" applyFont="1" applyFill="1" applyBorder="1" applyAlignment="1">
      <alignment horizontal="left" vertical="top" wrapText="1" indent="3"/>
    </xf>
    <xf numFmtId="0" fontId="38" fillId="18" borderId="0" xfId="0" applyFont="1" applyFill="1" applyAlignment="1">
      <alignment horizontal="left"/>
    </xf>
    <xf numFmtId="0" fontId="7" fillId="18" borderId="0" xfId="0" applyFont="1" applyFill="1" applyAlignment="1">
      <alignment horizontal="left"/>
    </xf>
    <xf numFmtId="0" fontId="12" fillId="0" borderId="0" xfId="0" applyFont="1" applyFill="1" applyBorder="1" applyAlignment="1">
      <alignment horizontal="left" vertical="center" wrapText="1" indent="3"/>
    </xf>
    <xf numFmtId="0" fontId="12" fillId="0" borderId="5" xfId="0" applyFont="1" applyFill="1" applyBorder="1" applyAlignment="1">
      <alignment horizontal="left" vertical="center" wrapText="1" indent="3"/>
    </xf>
    <xf numFmtId="0" fontId="12" fillId="0" borderId="0" xfId="0" applyFont="1" applyFill="1" applyBorder="1" applyAlignment="1">
      <alignment horizontal="left" vertical="center" wrapText="1" indent="2"/>
    </xf>
    <xf numFmtId="0" fontId="12" fillId="0" borderId="5" xfId="0" applyFont="1" applyFill="1" applyBorder="1" applyAlignment="1">
      <alignment horizontal="left" vertical="center" wrapText="1" indent="2"/>
    </xf>
    <xf numFmtId="0" fontId="22" fillId="0" borderId="0" xfId="0" applyFont="1" applyAlignment="1">
      <alignment horizontal="left" vertical="top" wrapText="1" indent="3"/>
    </xf>
    <xf numFmtId="0" fontId="1" fillId="0" borderId="0" xfId="0" applyFont="1" applyAlignment="1">
      <alignment horizontal="left" vertical="top" wrapText="1" indent="3"/>
    </xf>
    <xf numFmtId="166" fontId="13" fillId="18" borderId="0" xfId="0" applyNumberFormat="1" applyFont="1" applyFill="1" applyBorder="1" applyAlignment="1">
      <alignment horizontal="right" wrapText="1"/>
    </xf>
    <xf numFmtId="0" fontId="14" fillId="18" borderId="0" xfId="0" applyFont="1" applyFill="1" applyBorder="1" applyAlignment="1"/>
    <xf numFmtId="0" fontId="8" fillId="18" borderId="0" xfId="0" applyFont="1" applyFill="1" applyAlignment="1">
      <alignment horizontal="right"/>
    </xf>
    <xf numFmtId="0" fontId="6" fillId="18" borderId="0" xfId="0" applyFont="1" applyFill="1" applyAlignment="1">
      <alignment horizontal="right"/>
    </xf>
    <xf numFmtId="0" fontId="22" fillId="0" borderId="0" xfId="0" applyFont="1" applyFill="1" applyAlignment="1">
      <alignment horizontal="left" vertical="center" wrapText="1" indent="2"/>
    </xf>
    <xf numFmtId="0" fontId="7" fillId="18" borderId="0" xfId="0" applyFont="1" applyFill="1" applyBorder="1"/>
    <xf numFmtId="9" fontId="40" fillId="0" borderId="0" xfId="3" applyFont="1" applyFill="1" applyBorder="1"/>
    <xf numFmtId="0" fontId="48" fillId="0" borderId="0" xfId="0" applyFont="1" applyFill="1" applyAlignment="1">
      <alignment horizontal="center" vertical="center"/>
    </xf>
    <xf numFmtId="177" fontId="8" fillId="0" borderId="0" xfId="0" applyNumberFormat="1" applyFont="1"/>
    <xf numFmtId="178" fontId="6" fillId="0" borderId="0" xfId="37" applyNumberFormat="1" applyFont="1"/>
    <xf numFmtId="0" fontId="48" fillId="0" borderId="0" xfId="0" applyFont="1" applyFill="1" applyAlignment="1">
      <alignment horizontal="center" vertical="center"/>
    </xf>
    <xf numFmtId="0" fontId="8" fillId="0" borderId="0" xfId="0" applyFont="1" applyBorder="1" applyAlignment="1">
      <alignment horizontal="left" wrapText="1"/>
    </xf>
    <xf numFmtId="179" fontId="58" fillId="0" borderId="0" xfId="0" applyNumberFormat="1" applyFont="1" applyAlignment="1">
      <alignment horizontal="right" vertical="center"/>
    </xf>
    <xf numFmtId="0" fontId="19" fillId="0" borderId="0" xfId="0" applyFont="1" applyFill="1" applyBorder="1" applyAlignment="1">
      <alignment horizontal="left" vertical="center" readingOrder="1"/>
    </xf>
    <xf numFmtId="0" fontId="11" fillId="0" borderId="10" xfId="0" applyFont="1" applyFill="1" applyBorder="1" applyAlignment="1">
      <alignment vertical="center" wrapText="1"/>
    </xf>
    <xf numFmtId="166" fontId="11" fillId="0" borderId="10" xfId="0" applyNumberFormat="1" applyFont="1" applyFill="1" applyBorder="1" applyAlignment="1">
      <alignment horizontal="right" vertical="center" wrapText="1"/>
    </xf>
    <xf numFmtId="166" fontId="11" fillId="18" borderId="10" xfId="0" applyNumberFormat="1" applyFont="1" applyFill="1" applyBorder="1" applyAlignment="1">
      <alignment horizontal="right" vertical="center" wrapText="1"/>
    </xf>
    <xf numFmtId="166" fontId="11" fillId="0" borderId="10" xfId="0" applyNumberFormat="1" applyFont="1" applyBorder="1" applyAlignment="1">
      <alignment horizontal="right" vertical="center" wrapText="1"/>
    </xf>
    <xf numFmtId="166" fontId="11" fillId="0" borderId="0" xfId="0" applyNumberFormat="1" applyFont="1" applyFill="1" applyBorder="1" applyAlignment="1">
      <alignment horizontal="right" vertical="center" wrapText="1"/>
    </xf>
    <xf numFmtId="0" fontId="6" fillId="0" borderId="0" xfId="0" applyFont="1" applyAlignment="1">
      <alignment vertical="center"/>
    </xf>
    <xf numFmtId="0" fontId="12" fillId="0" borderId="8" xfId="0" applyFont="1" applyFill="1" applyBorder="1" applyAlignment="1">
      <alignment horizontal="left" vertical="center" wrapText="1"/>
    </xf>
    <xf numFmtId="167" fontId="40" fillId="0" borderId="8" xfId="6" applyNumberFormat="1" applyFont="1" applyFill="1" applyBorder="1" applyAlignment="1">
      <alignment horizontal="right" vertical="center" wrapText="1"/>
    </xf>
    <xf numFmtId="167" fontId="40" fillId="18" borderId="8" xfId="6" applyNumberFormat="1" applyFont="1" applyFill="1" applyBorder="1" applyAlignment="1">
      <alignment horizontal="right" vertical="center" wrapText="1"/>
    </xf>
    <xf numFmtId="167" fontId="40" fillId="0" borderId="0" xfId="6" applyNumberFormat="1" applyFont="1" applyFill="1" applyBorder="1" applyAlignment="1">
      <alignment horizontal="right" vertical="center" wrapText="1"/>
    </xf>
    <xf numFmtId="167" fontId="6" fillId="0" borderId="0" xfId="0" applyNumberFormat="1" applyFont="1" applyAlignment="1">
      <alignment vertical="center"/>
    </xf>
    <xf numFmtId="0" fontId="12" fillId="0" borderId="0" xfId="0" applyFont="1" applyFill="1" applyBorder="1" applyAlignment="1">
      <alignment horizontal="left" vertical="center" wrapText="1"/>
    </xf>
    <xf numFmtId="166" fontId="40" fillId="0" borderId="0" xfId="0" applyNumberFormat="1" applyFont="1" applyFill="1" applyBorder="1" applyAlignment="1">
      <alignment horizontal="right" vertical="center" wrapText="1"/>
    </xf>
    <xf numFmtId="166" fontId="40" fillId="18" borderId="0" xfId="0" applyNumberFormat="1" applyFont="1" applyFill="1" applyBorder="1" applyAlignment="1">
      <alignment horizontal="right" vertical="center" wrapText="1"/>
    </xf>
    <xf numFmtId="0" fontId="31" fillId="0" borderId="0" xfId="0" applyFont="1" applyFill="1" applyBorder="1" applyAlignment="1">
      <alignment vertical="center"/>
    </xf>
    <xf numFmtId="0" fontId="12" fillId="0" borderId="5" xfId="0" applyFont="1" applyFill="1" applyBorder="1" applyAlignment="1">
      <alignment horizontal="left" vertical="center" wrapText="1"/>
    </xf>
    <xf numFmtId="167" fontId="40" fillId="0" borderId="5" xfId="6" applyNumberFormat="1" applyFont="1" applyFill="1" applyBorder="1" applyAlignment="1">
      <alignment horizontal="right" vertical="center" wrapText="1"/>
    </xf>
    <xf numFmtId="167" fontId="40" fillId="18" borderId="0" xfId="6" applyNumberFormat="1" applyFont="1" applyFill="1" applyBorder="1" applyAlignment="1">
      <alignment horizontal="right" vertical="center" wrapText="1"/>
    </xf>
    <xf numFmtId="0" fontId="40" fillId="0" borderId="0" xfId="0" applyFont="1" applyFill="1" applyBorder="1" applyAlignment="1">
      <alignment vertical="center"/>
    </xf>
    <xf numFmtId="0" fontId="12" fillId="0" borderId="8" xfId="0" applyFont="1" applyFill="1" applyBorder="1" applyAlignment="1">
      <alignment horizontal="left" vertical="center" wrapText="1" indent="2"/>
    </xf>
    <xf numFmtId="0" fontId="30" fillId="18" borderId="0" xfId="0" applyFont="1" applyFill="1" applyBorder="1" applyAlignment="1">
      <alignment vertical="center"/>
    </xf>
    <xf numFmtId="166" fontId="40" fillId="0" borderId="0" xfId="0" applyNumberFormat="1" applyFont="1" applyAlignment="1">
      <alignment horizontal="right" vertical="center" wrapText="1"/>
    </xf>
    <xf numFmtId="0" fontId="8" fillId="0" borderId="0" xfId="0" applyFont="1" applyAlignment="1">
      <alignment vertical="center"/>
    </xf>
    <xf numFmtId="167" fontId="40" fillId="18" borderId="5" xfId="6" applyNumberFormat="1" applyFont="1" applyFill="1" applyBorder="1" applyAlignment="1">
      <alignment horizontal="right" vertical="center" wrapText="1"/>
    </xf>
    <xf numFmtId="167" fontId="11" fillId="0" borderId="10" xfId="6" applyNumberFormat="1" applyFont="1" applyFill="1" applyBorder="1" applyAlignment="1">
      <alignment horizontal="right" vertical="center" wrapText="1"/>
    </xf>
    <xf numFmtId="167" fontId="11" fillId="18" borderId="10" xfId="6" applyNumberFormat="1" applyFont="1" applyFill="1" applyBorder="1" applyAlignment="1">
      <alignment horizontal="right" vertical="center" wrapText="1"/>
    </xf>
    <xf numFmtId="167" fontId="11" fillId="0" borderId="0" xfId="6" applyNumberFormat="1" applyFont="1" applyFill="1" applyBorder="1" applyAlignment="1">
      <alignment horizontal="right" vertical="center" wrapText="1"/>
    </xf>
    <xf numFmtId="167" fontId="11" fillId="18" borderId="0" xfId="6" applyNumberFormat="1" applyFont="1" applyFill="1" applyBorder="1" applyAlignment="1">
      <alignment horizontal="right" vertical="center" wrapText="1"/>
    </xf>
    <xf numFmtId="167" fontId="12" fillId="0" borderId="0" xfId="6" applyNumberFormat="1" applyFont="1" applyFill="1" applyBorder="1" applyAlignment="1">
      <alignment horizontal="right" vertical="center" wrapText="1"/>
    </xf>
    <xf numFmtId="167" fontId="12" fillId="18" borderId="0" xfId="6" applyNumberFormat="1" applyFont="1" applyFill="1" applyBorder="1" applyAlignment="1">
      <alignment horizontal="right" vertical="center" wrapText="1"/>
    </xf>
    <xf numFmtId="1" fontId="23" fillId="0" borderId="0" xfId="3" applyNumberFormat="1" applyFont="1" applyFill="1" applyBorder="1" applyAlignment="1">
      <alignment horizontal="right" vertical="center" wrapText="1"/>
    </xf>
    <xf numFmtId="166" fontId="40" fillId="0" borderId="6" xfId="0" applyNumberFormat="1" applyFont="1" applyFill="1" applyBorder="1" applyAlignment="1">
      <alignment horizontal="right" vertical="center" wrapText="1"/>
    </xf>
    <xf numFmtId="169" fontId="45" fillId="0" borderId="0" xfId="3" applyNumberFormat="1" applyFont="1" applyFill="1" applyBorder="1" applyAlignment="1">
      <alignment horizontal="right" vertical="center" wrapText="1"/>
    </xf>
    <xf numFmtId="0" fontId="8" fillId="0" borderId="0" xfId="0" applyFont="1" applyBorder="1" applyAlignment="1">
      <alignment vertical="center"/>
    </xf>
    <xf numFmtId="166" fontId="12" fillId="0" borderId="0" xfId="0" applyNumberFormat="1" applyFont="1" applyFill="1" applyBorder="1" applyAlignment="1">
      <alignment horizontal="right" vertical="center" wrapText="1"/>
    </xf>
    <xf numFmtId="166" fontId="12" fillId="0" borderId="0" xfId="0" applyNumberFormat="1" applyFont="1" applyAlignment="1">
      <alignment horizontal="right" vertical="center" wrapText="1"/>
    </xf>
    <xf numFmtId="169" fontId="12" fillId="0" borderId="0" xfId="3" applyNumberFormat="1" applyFont="1" applyFill="1" applyBorder="1" applyAlignment="1">
      <alignment horizontal="right" vertical="center" wrapText="1"/>
    </xf>
    <xf numFmtId="166" fontId="11" fillId="18" borderId="0" xfId="0" applyNumberFormat="1" applyFont="1" applyFill="1" applyBorder="1" applyAlignment="1">
      <alignment horizontal="right" vertical="center" wrapText="1"/>
    </xf>
    <xf numFmtId="166" fontId="11" fillId="0" borderId="0" xfId="0" applyNumberFormat="1" applyFont="1" applyAlignment="1">
      <alignment horizontal="right" vertical="center" wrapText="1"/>
    </xf>
    <xf numFmtId="166" fontId="40" fillId="18" borderId="0" xfId="0" applyNumberFormat="1" applyFont="1" applyFill="1" applyAlignment="1">
      <alignment horizontal="right" vertical="center" wrapText="1"/>
    </xf>
    <xf numFmtId="170" fontId="11" fillId="0" borderId="8" xfId="0" applyNumberFormat="1" applyFont="1" applyFill="1" applyBorder="1" applyAlignment="1">
      <alignment horizontal="right" vertical="center" wrapText="1"/>
    </xf>
    <xf numFmtId="170" fontId="11" fillId="0" borderId="8" xfId="0" applyNumberFormat="1" applyFont="1" applyBorder="1" applyAlignment="1">
      <alignment horizontal="right" vertical="center" wrapText="1"/>
    </xf>
    <xf numFmtId="170" fontId="11" fillId="0" borderId="0" xfId="0" applyNumberFormat="1" applyFont="1" applyFill="1" applyBorder="1" applyAlignment="1">
      <alignment horizontal="right" vertical="center" wrapText="1"/>
    </xf>
    <xf numFmtId="170" fontId="11" fillId="0" borderId="0" xfId="0" applyNumberFormat="1" applyFont="1" applyAlignment="1">
      <alignment horizontal="right" vertical="center" wrapText="1"/>
    </xf>
    <xf numFmtId="167" fontId="12" fillId="0" borderId="5" xfId="6" applyNumberFormat="1" applyFont="1" applyFill="1" applyBorder="1" applyAlignment="1">
      <alignment horizontal="right" vertical="center" wrapText="1"/>
    </xf>
    <xf numFmtId="170" fontId="11" fillId="0" borderId="13" xfId="0" applyNumberFormat="1" applyFont="1" applyFill="1" applyBorder="1" applyAlignment="1">
      <alignment horizontal="right" vertical="center" wrapText="1"/>
    </xf>
    <xf numFmtId="170" fontId="11" fillId="0" borderId="13" xfId="0" applyNumberFormat="1" applyFont="1" applyBorder="1" applyAlignment="1">
      <alignment horizontal="right" vertical="center" wrapText="1"/>
    </xf>
    <xf numFmtId="0" fontId="11"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9" fontId="23" fillId="0" borderId="0" xfId="3" applyFont="1" applyFill="1" applyBorder="1" applyAlignment="1">
      <alignment horizontal="right" vertical="center" wrapText="1"/>
    </xf>
    <xf numFmtId="0" fontId="12"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13" xfId="0" applyFont="1" applyFill="1" applyBorder="1" applyAlignment="1">
      <alignment vertical="center"/>
    </xf>
    <xf numFmtId="167" fontId="11" fillId="0" borderId="6" xfId="6" applyNumberFormat="1" applyFont="1" applyFill="1" applyBorder="1" applyAlignment="1">
      <alignment horizontal="right" vertical="center" wrapText="1"/>
    </xf>
    <xf numFmtId="167" fontId="11" fillId="18" borderId="6" xfId="6" applyNumberFormat="1" applyFont="1" applyFill="1" applyBorder="1" applyAlignment="1">
      <alignment horizontal="right" vertical="center" wrapText="1"/>
    </xf>
    <xf numFmtId="0" fontId="8" fillId="18" borderId="0" xfId="0" applyFont="1" applyFill="1" applyAlignment="1">
      <alignment vertical="center"/>
    </xf>
    <xf numFmtId="167" fontId="11" fillId="18" borderId="7" xfId="6" applyNumberFormat="1" applyFont="1" applyFill="1" applyBorder="1" applyAlignment="1">
      <alignment horizontal="right" vertical="center" wrapText="1"/>
    </xf>
    <xf numFmtId="167" fontId="45" fillId="18" borderId="5" xfId="6" applyNumberFormat="1" applyFont="1" applyFill="1" applyBorder="1" applyAlignment="1">
      <alignment horizontal="right" vertical="center" wrapText="1"/>
    </xf>
    <xf numFmtId="167" fontId="45" fillId="18" borderId="0" xfId="6" applyNumberFormat="1" applyFont="1" applyFill="1" applyBorder="1" applyAlignment="1">
      <alignment horizontal="right" vertical="center" wrapText="1"/>
    </xf>
    <xf numFmtId="167" fontId="45" fillId="0" borderId="0" xfId="6" applyNumberFormat="1" applyFont="1" applyFill="1" applyBorder="1" applyAlignment="1">
      <alignment horizontal="right" vertical="center" wrapText="1"/>
    </xf>
    <xf numFmtId="167" fontId="15" fillId="18" borderId="9" xfId="6" applyNumberFormat="1" applyFont="1" applyFill="1" applyBorder="1" applyAlignment="1">
      <alignment horizontal="right" vertical="center" wrapText="1"/>
    </xf>
    <xf numFmtId="167" fontId="15" fillId="18" borderId="0" xfId="6" applyNumberFormat="1" applyFont="1" applyFill="1" applyBorder="1" applyAlignment="1">
      <alignment horizontal="right" vertical="center" wrapText="1"/>
    </xf>
    <xf numFmtId="167" fontId="15" fillId="0" borderId="0" xfId="6" applyNumberFormat="1" applyFont="1" applyFill="1" applyBorder="1" applyAlignment="1">
      <alignment horizontal="right" vertical="center" wrapText="1"/>
    </xf>
    <xf numFmtId="167" fontId="11" fillId="18" borderId="9" xfId="6" applyNumberFormat="1" applyFont="1" applyFill="1" applyBorder="1" applyAlignment="1">
      <alignment horizontal="right" vertical="center" wrapText="1"/>
    </xf>
    <xf numFmtId="167" fontId="11" fillId="0" borderId="7" xfId="6" applyNumberFormat="1" applyFont="1" applyFill="1" applyBorder="1" applyAlignment="1">
      <alignment horizontal="right" vertical="center" wrapText="1"/>
    </xf>
    <xf numFmtId="0" fontId="11" fillId="0" borderId="6" xfId="0" applyFont="1" applyFill="1" applyBorder="1" applyAlignment="1">
      <alignment vertical="center" wrapText="1"/>
    </xf>
    <xf numFmtId="0" fontId="11" fillId="18" borderId="6" xfId="0" applyFont="1" applyFill="1" applyBorder="1" applyAlignment="1">
      <alignment vertical="center" wrapText="1"/>
    </xf>
    <xf numFmtId="0" fontId="11" fillId="18" borderId="0" xfId="0" applyFont="1" applyFill="1" applyBorder="1" applyAlignment="1">
      <alignment vertical="center" wrapText="1"/>
    </xf>
    <xf numFmtId="0" fontId="11" fillId="18" borderId="7" xfId="0" applyFont="1" applyFill="1" applyBorder="1" applyAlignment="1">
      <alignment vertical="center" wrapText="1"/>
    </xf>
    <xf numFmtId="0" fontId="11" fillId="18" borderId="5" xfId="0" applyFont="1" applyFill="1" applyBorder="1" applyAlignment="1">
      <alignment horizontal="left" vertical="center" wrapText="1"/>
    </xf>
    <xf numFmtId="0" fontId="11" fillId="18" borderId="9" xfId="0" applyFont="1" applyFill="1" applyBorder="1" applyAlignment="1">
      <alignment vertical="center" wrapText="1"/>
    </xf>
    <xf numFmtId="0" fontId="11" fillId="0" borderId="7" xfId="0" applyFont="1" applyFill="1" applyBorder="1" applyAlignment="1">
      <alignment vertical="center" wrapText="1"/>
    </xf>
    <xf numFmtId="0" fontId="12" fillId="18" borderId="5" xfId="0" applyFont="1" applyFill="1" applyBorder="1" applyAlignment="1">
      <alignment horizontal="left" vertical="center" wrapText="1" indent="2"/>
    </xf>
    <xf numFmtId="0" fontId="12" fillId="18" borderId="8" xfId="0" applyFont="1" applyFill="1" applyBorder="1" applyAlignment="1">
      <alignment horizontal="left" vertical="center" wrapText="1" indent="2"/>
    </xf>
    <xf numFmtId="0" fontId="1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167" fontId="45" fillId="0" borderId="5" xfId="6" applyNumberFormat="1" applyFont="1" applyFill="1" applyBorder="1" applyAlignment="1">
      <alignment horizontal="right" vertical="center" wrapText="1"/>
    </xf>
    <xf numFmtId="167" fontId="15" fillId="0" borderId="9" xfId="6" applyNumberFormat="1" applyFont="1" applyFill="1" applyBorder="1" applyAlignment="1">
      <alignment horizontal="right" vertical="center" wrapText="1"/>
    </xf>
    <xf numFmtId="167" fontId="11" fillId="0" borderId="9" xfId="6" applyNumberFormat="1" applyFont="1" applyFill="1" applyBorder="1" applyAlignment="1">
      <alignment horizontal="right" vertical="center" wrapText="1"/>
    </xf>
    <xf numFmtId="0" fontId="11" fillId="0" borderId="5" xfId="0" applyFont="1" applyFill="1" applyBorder="1" applyAlignment="1">
      <alignment horizontal="left" vertical="center" wrapText="1"/>
    </xf>
    <xf numFmtId="0" fontId="11" fillId="0" borderId="9" xfId="0" applyFont="1" applyFill="1" applyBorder="1" applyAlignment="1">
      <alignment vertical="center" wrapText="1"/>
    </xf>
    <xf numFmtId="167" fontId="11" fillId="0" borderId="8" xfId="6" applyNumberFormat="1" applyFont="1" applyFill="1" applyBorder="1" applyAlignment="1">
      <alignment horizontal="right" vertical="center" wrapText="1"/>
    </xf>
    <xf numFmtId="0" fontId="6" fillId="18" borderId="0" xfId="0" applyFont="1" applyFill="1" applyAlignment="1">
      <alignment vertical="center"/>
    </xf>
    <xf numFmtId="167" fontId="40" fillId="0" borderId="14" xfId="0" applyNumberFormat="1" applyFont="1" applyBorder="1" applyAlignment="1">
      <alignment horizontal="right" vertical="center" wrapText="1"/>
    </xf>
    <xf numFmtId="167" fontId="40" fillId="18" borderId="0" xfId="0" applyNumberFormat="1" applyFont="1" applyFill="1" applyBorder="1" applyAlignment="1">
      <alignment horizontal="right" vertical="center" wrapText="1"/>
    </xf>
    <xf numFmtId="167" fontId="40" fillId="0" borderId="15" xfId="0" applyNumberFormat="1" applyFont="1" applyBorder="1" applyAlignment="1">
      <alignment horizontal="right" vertical="center" wrapText="1"/>
    </xf>
    <xf numFmtId="167" fontId="40" fillId="0" borderId="0" xfId="0" applyNumberFormat="1" applyFont="1" applyBorder="1" applyAlignment="1">
      <alignment horizontal="right" vertical="center" wrapText="1"/>
    </xf>
    <xf numFmtId="0" fontId="45" fillId="0" borderId="0" xfId="0" applyFont="1" applyFill="1" applyBorder="1" applyAlignment="1">
      <alignment vertical="center"/>
    </xf>
    <xf numFmtId="0" fontId="8" fillId="18" borderId="0" xfId="0" applyFont="1" applyFill="1" applyBorder="1" applyAlignment="1">
      <alignment vertical="center"/>
    </xf>
    <xf numFmtId="0" fontId="40" fillId="0" borderId="0" xfId="0" applyFont="1" applyAlignment="1">
      <alignment vertical="center"/>
    </xf>
    <xf numFmtId="0" fontId="12" fillId="0" borderId="0" xfId="0" applyFont="1" applyFill="1" applyBorder="1" applyAlignment="1">
      <alignment horizontal="right" vertical="center"/>
    </xf>
    <xf numFmtId="0" fontId="8" fillId="0" borderId="0" xfId="0" applyFont="1" applyFill="1" applyBorder="1" applyAlignment="1">
      <alignment horizontal="right" vertical="center"/>
    </xf>
    <xf numFmtId="0" fontId="8" fillId="18" borderId="0" xfId="0" applyFont="1" applyFill="1" applyBorder="1" applyAlignment="1">
      <alignment horizontal="right" vertical="center"/>
    </xf>
    <xf numFmtId="0" fontId="12" fillId="0" borderId="12" xfId="0" applyFont="1" applyFill="1" applyBorder="1" applyAlignment="1">
      <alignment horizontal="right" vertical="center"/>
    </xf>
    <xf numFmtId="0" fontId="8" fillId="0" borderId="12" xfId="0" applyFont="1" applyFill="1" applyBorder="1" applyAlignment="1">
      <alignment horizontal="right" vertical="center"/>
    </xf>
    <xf numFmtId="167" fontId="11" fillId="0" borderId="5" xfId="6" applyNumberFormat="1" applyFont="1" applyFill="1" applyBorder="1" applyAlignment="1">
      <alignment horizontal="right" vertical="center" wrapText="1"/>
    </xf>
    <xf numFmtId="167" fontId="11" fillId="0" borderId="11" xfId="6" applyNumberFormat="1" applyFont="1" applyFill="1" applyBorder="1" applyAlignment="1">
      <alignment horizontal="right" vertical="center" wrapText="1"/>
    </xf>
    <xf numFmtId="0" fontId="11" fillId="0" borderId="8" xfId="0" applyFont="1" applyFill="1" applyBorder="1" applyAlignment="1">
      <alignment vertical="center" wrapText="1"/>
    </xf>
    <xf numFmtId="168" fontId="7" fillId="0" borderId="0" xfId="0" applyNumberFormat="1" applyFont="1" applyFill="1" applyBorder="1" applyAlignment="1">
      <alignment vertical="center"/>
    </xf>
    <xf numFmtId="0" fontId="12" fillId="0" borderId="12" xfId="0" applyFont="1" applyFill="1" applyBorder="1" applyAlignment="1">
      <alignment vertical="center" wrapText="1"/>
    </xf>
    <xf numFmtId="0" fontId="11" fillId="0" borderId="5" xfId="0" applyFont="1" applyFill="1" applyBorder="1" applyAlignment="1">
      <alignment vertical="center" wrapText="1"/>
    </xf>
    <xf numFmtId="0" fontId="12" fillId="0" borderId="5" xfId="0" applyFont="1" applyFill="1" applyBorder="1" applyAlignment="1">
      <alignment vertical="center" wrapText="1"/>
    </xf>
    <xf numFmtId="0" fontId="11" fillId="0" borderId="11" xfId="0" applyFont="1" applyFill="1" applyBorder="1" applyAlignment="1">
      <alignment vertical="center" wrapText="1"/>
    </xf>
    <xf numFmtId="166" fontId="13" fillId="0" borderId="0" xfId="0" applyNumberFormat="1" applyFont="1" applyFill="1" applyBorder="1" applyAlignment="1">
      <alignment horizontal="right" vertical="center" wrapText="1"/>
    </xf>
    <xf numFmtId="167" fontId="11" fillId="18" borderId="8" xfId="6" applyNumberFormat="1" applyFont="1" applyFill="1" applyBorder="1" applyAlignment="1">
      <alignment horizontal="right" vertical="center" wrapText="1"/>
    </xf>
    <xf numFmtId="167" fontId="40" fillId="18" borderId="14" xfId="0" applyNumberFormat="1" applyFont="1" applyFill="1" applyBorder="1" applyAlignment="1">
      <alignment horizontal="right" vertical="center" wrapText="1"/>
    </xf>
    <xf numFmtId="0" fontId="40" fillId="0" borderId="5" xfId="6" applyNumberFormat="1" applyFont="1" applyFill="1" applyBorder="1" applyAlignment="1">
      <alignment horizontal="right" vertical="center" wrapText="1"/>
    </xf>
    <xf numFmtId="164" fontId="6" fillId="0" borderId="0" xfId="0" applyNumberFormat="1" applyFont="1" applyAlignment="1">
      <alignment vertical="center"/>
    </xf>
    <xf numFmtId="169" fontId="39" fillId="0" borderId="0" xfId="3" applyNumberFormat="1" applyFont="1" applyFill="1" applyBorder="1" applyAlignment="1">
      <alignment horizontal="right" vertical="center" wrapText="1"/>
    </xf>
    <xf numFmtId="169" fontId="39" fillId="18" borderId="0" xfId="3" applyNumberFormat="1" applyFont="1" applyFill="1" applyBorder="1" applyAlignment="1">
      <alignment horizontal="right" vertical="center" wrapText="1"/>
    </xf>
    <xf numFmtId="169" fontId="11" fillId="0" borderId="0" xfId="3" applyNumberFormat="1" applyFont="1" applyFill="1" applyBorder="1" applyAlignment="1">
      <alignment horizontal="right" vertical="center" wrapText="1"/>
    </xf>
    <xf numFmtId="169" fontId="11" fillId="18" borderId="0" xfId="3" applyNumberFormat="1" applyFont="1" applyFill="1" applyBorder="1" applyAlignment="1">
      <alignment horizontal="right" vertical="center" wrapText="1"/>
    </xf>
    <xf numFmtId="0" fontId="12" fillId="0" borderId="16" xfId="0" applyFont="1" applyFill="1" applyBorder="1" applyAlignment="1">
      <alignment horizontal="left" vertical="center" wrapText="1"/>
    </xf>
    <xf numFmtId="9" fontId="23" fillId="0" borderId="0" xfId="3" applyFont="1" applyFill="1" applyBorder="1" applyAlignment="1">
      <alignment horizontal="left" vertical="center" wrapText="1"/>
    </xf>
    <xf numFmtId="0" fontId="12" fillId="0" borderId="16" xfId="0" applyFont="1" applyFill="1" applyBorder="1" applyAlignment="1">
      <alignment horizontal="left" vertical="center" wrapText="1" indent="2"/>
    </xf>
    <xf numFmtId="9" fontId="23" fillId="0" borderId="0" xfId="3" applyFont="1" applyFill="1" applyBorder="1" applyAlignment="1">
      <alignment horizontal="left" vertical="center" wrapText="1" indent="1"/>
    </xf>
    <xf numFmtId="0" fontId="6" fillId="18" borderId="0" xfId="0" applyFont="1" applyFill="1" applyBorder="1" applyAlignment="1">
      <alignment vertical="center"/>
    </xf>
    <xf numFmtId="0" fontId="31" fillId="18" borderId="0" xfId="0" applyFont="1" applyFill="1" applyBorder="1" applyAlignment="1">
      <alignment vertical="center"/>
    </xf>
    <xf numFmtId="167" fontId="12" fillId="0" borderId="8" xfId="6" applyNumberFormat="1" applyFont="1" applyFill="1" applyBorder="1" applyAlignment="1">
      <alignment horizontal="right" vertical="center" wrapText="1"/>
    </xf>
    <xf numFmtId="166" fontId="11" fillId="0" borderId="9" xfId="0" applyNumberFormat="1" applyFont="1" applyFill="1" applyBorder="1" applyAlignment="1">
      <alignment horizontal="right" vertical="center" wrapText="1"/>
    </xf>
    <xf numFmtId="171" fontId="39" fillId="18" borderId="9" xfId="6" applyNumberFormat="1" applyFont="1" applyFill="1" applyBorder="1" applyAlignment="1">
      <alignment horizontal="right" vertical="center" wrapText="1"/>
    </xf>
    <xf numFmtId="171" fontId="39" fillId="18" borderId="0" xfId="6" applyNumberFormat="1" applyFont="1" applyFill="1" applyBorder="1" applyAlignment="1">
      <alignment horizontal="right" vertical="center" wrapText="1"/>
    </xf>
    <xf numFmtId="0" fontId="7" fillId="0" borderId="0" xfId="0" applyFont="1" applyBorder="1" applyAlignment="1">
      <alignment vertical="center"/>
    </xf>
    <xf numFmtId="0" fontId="7" fillId="18" borderId="0" xfId="0" applyFont="1" applyFill="1" applyBorder="1" applyAlignment="1">
      <alignment vertical="center"/>
    </xf>
    <xf numFmtId="176" fontId="39" fillId="18" borderId="9" xfId="6" applyNumberFormat="1" applyFont="1" applyFill="1" applyBorder="1" applyAlignment="1">
      <alignment horizontal="right" vertical="center" wrapText="1"/>
    </xf>
    <xf numFmtId="176" fontId="39" fillId="18" borderId="0" xfId="6" applyNumberFormat="1" applyFont="1" applyFill="1" applyBorder="1" applyAlignment="1">
      <alignment horizontal="right" vertical="center" wrapText="1"/>
    </xf>
    <xf numFmtId="0" fontId="31" fillId="0" borderId="0" xfId="0" applyFont="1" applyBorder="1" applyAlignment="1">
      <alignment vertical="center"/>
    </xf>
    <xf numFmtId="0" fontId="31" fillId="0" borderId="0" xfId="0" applyFont="1" applyAlignment="1">
      <alignment vertical="center"/>
    </xf>
    <xf numFmtId="0" fontId="7" fillId="0" borderId="0" xfId="0" applyFont="1" applyAlignment="1">
      <alignment vertical="center"/>
    </xf>
    <xf numFmtId="0" fontId="7" fillId="18" borderId="0" xfId="0" applyFont="1" applyFill="1" applyAlignment="1">
      <alignment vertical="center"/>
    </xf>
    <xf numFmtId="0" fontId="11" fillId="0" borderId="8" xfId="0" applyFont="1" applyFill="1" applyBorder="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167" fontId="12" fillId="18" borderId="8" xfId="6" applyNumberFormat="1" applyFont="1" applyFill="1" applyBorder="1" applyAlignment="1">
      <alignment horizontal="right" vertical="center" wrapText="1"/>
    </xf>
    <xf numFmtId="166" fontId="11" fillId="18" borderId="9" xfId="0" applyNumberFormat="1" applyFont="1" applyFill="1" applyBorder="1" applyAlignment="1">
      <alignment horizontal="right" vertical="center" wrapText="1"/>
    </xf>
    <xf numFmtId="171" fontId="39" fillId="0" borderId="9" xfId="6" applyNumberFormat="1" applyFont="1" applyFill="1" applyBorder="1" applyAlignment="1">
      <alignment horizontal="right" vertical="center" wrapText="1"/>
    </xf>
    <xf numFmtId="171" fontId="39" fillId="0" borderId="0" xfId="3" applyNumberFormat="1" applyFont="1" applyFill="1" applyBorder="1" applyAlignment="1">
      <alignment horizontal="right" vertical="center" wrapText="1"/>
    </xf>
    <xf numFmtId="171" fontId="39" fillId="18" borderId="0" xfId="3" applyNumberFormat="1" applyFont="1" applyFill="1" applyBorder="1" applyAlignment="1">
      <alignment horizontal="right" vertical="center" wrapText="1"/>
    </xf>
    <xf numFmtId="0" fontId="6" fillId="0" borderId="0" xfId="0" applyFont="1" applyFill="1" applyAlignment="1">
      <alignment vertical="center"/>
    </xf>
    <xf numFmtId="0" fontId="31" fillId="18" borderId="0" xfId="0" applyFont="1" applyFill="1" applyAlignment="1">
      <alignment vertical="center"/>
    </xf>
    <xf numFmtId="0" fontId="31" fillId="0" borderId="0" xfId="0" applyFont="1" applyFill="1" applyAlignment="1">
      <alignment vertical="center"/>
    </xf>
    <xf numFmtId="171" fontId="31" fillId="0" borderId="0" xfId="0" applyNumberFormat="1" applyFont="1" applyFill="1" applyBorder="1" applyAlignment="1">
      <alignment vertical="center"/>
    </xf>
    <xf numFmtId="180" fontId="6" fillId="0" borderId="0" xfId="37" applyNumberFormat="1" applyFont="1"/>
    <xf numFmtId="0" fontId="39" fillId="0" borderId="0" xfId="0" applyFont="1" applyAlignment="1">
      <alignment wrapText="1"/>
    </xf>
    <xf numFmtId="0" fontId="39" fillId="0" borderId="0" xfId="0" applyFont="1" applyAlignment="1"/>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25" fillId="0" borderId="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170" fontId="40" fillId="18" borderId="8" xfId="0" applyNumberFormat="1" applyFont="1" applyFill="1" applyBorder="1" applyAlignment="1">
      <alignment horizontal="right" vertical="center" wrapText="1"/>
    </xf>
    <xf numFmtId="170" fontId="40" fillId="18" borderId="5" xfId="0" applyNumberFormat="1" applyFont="1" applyFill="1" applyBorder="1" applyAlignment="1">
      <alignment horizontal="right" vertical="center" wrapText="1"/>
    </xf>
    <xf numFmtId="169" fontId="39" fillId="18" borderId="5" xfId="3" applyNumberFormat="1" applyFont="1" applyFill="1" applyBorder="1" applyAlignment="1">
      <alignment horizontal="right" vertical="center" wrapText="1"/>
    </xf>
    <xf numFmtId="170" fontId="40" fillId="18" borderId="16" xfId="0" applyNumberFormat="1" applyFont="1" applyFill="1" applyBorder="1" applyAlignment="1">
      <alignment horizontal="right" vertical="center" wrapText="1"/>
    </xf>
    <xf numFmtId="170" fontId="40" fillId="18" borderId="0" xfId="0" applyNumberFormat="1" applyFont="1" applyFill="1" applyBorder="1" applyAlignment="1">
      <alignment horizontal="right" vertical="center" wrapText="1"/>
    </xf>
    <xf numFmtId="171" fontId="40" fillId="18" borderId="5" xfId="6" applyNumberFormat="1" applyFont="1" applyFill="1" applyBorder="1" applyAlignment="1">
      <alignment horizontal="right" vertical="center" wrapText="1"/>
    </xf>
    <xf numFmtId="176" fontId="40" fillId="18" borderId="5" xfId="6" applyNumberFormat="1" applyFont="1" applyFill="1" applyBorder="1" applyAlignment="1">
      <alignment horizontal="right" vertical="center" wrapText="1"/>
    </xf>
    <xf numFmtId="171" fontId="40" fillId="18" borderId="19" xfId="6" applyNumberFormat="1" applyFont="1" applyFill="1" applyBorder="1" applyAlignment="1">
      <alignment horizontal="right" vertical="center" wrapText="1"/>
    </xf>
    <xf numFmtId="0" fontId="9" fillId="0" borderId="17" xfId="0" applyFont="1" applyFill="1" applyBorder="1" applyAlignment="1">
      <alignment horizontal="center"/>
    </xf>
    <xf numFmtId="0" fontId="9" fillId="0" borderId="18" xfId="0" applyFont="1" applyFill="1" applyBorder="1" applyAlignment="1">
      <alignment horizontal="center"/>
    </xf>
    <xf numFmtId="0" fontId="48" fillId="0" borderId="0" xfId="0" applyFont="1" applyFill="1" applyAlignment="1">
      <alignment horizontal="center" vertical="center"/>
    </xf>
    <xf numFmtId="0" fontId="36" fillId="0" borderId="0" xfId="0" applyFont="1" applyBorder="1" applyAlignment="1">
      <alignment vertical="center" wrapText="1"/>
    </xf>
    <xf numFmtId="0" fontId="7" fillId="0" borderId="0" xfId="0" applyFont="1" applyBorder="1" applyAlignment="1">
      <alignment vertical="center" wrapText="1"/>
    </xf>
    <xf numFmtId="10"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Border="1" applyAlignment="1">
      <alignment horizontal="left" vertical="center" wrapText="1"/>
    </xf>
    <xf numFmtId="0" fontId="25" fillId="0" borderId="0" xfId="0" applyFont="1" applyAlignment="1">
      <alignment horizontal="center"/>
    </xf>
    <xf numFmtId="0" fontId="25" fillId="0" borderId="3" xfId="0" applyFont="1" applyBorder="1" applyAlignment="1">
      <alignment horizontal="center" vertical="center"/>
    </xf>
    <xf numFmtId="0" fontId="38" fillId="0" borderId="0" xfId="0" applyFont="1" applyAlignment="1">
      <alignment horizontal="left" vertical="top" wrapText="1"/>
    </xf>
    <xf numFmtId="0" fontId="25" fillId="12" borderId="17" xfId="0" applyFont="1" applyFill="1" applyBorder="1" applyAlignment="1">
      <alignment horizontal="center"/>
    </xf>
    <xf numFmtId="0" fontId="25" fillId="12" borderId="5" xfId="0" applyFont="1" applyFill="1" applyBorder="1" applyAlignment="1">
      <alignment horizontal="center"/>
    </xf>
    <xf numFmtId="0" fontId="25" fillId="12" borderId="18" xfId="0" applyFont="1" applyFill="1" applyBorder="1" applyAlignment="1">
      <alignment horizontal="center"/>
    </xf>
    <xf numFmtId="0" fontId="25" fillId="0" borderId="25" xfId="0" applyFont="1" applyBorder="1" applyAlignment="1">
      <alignment horizontal="center" vertical="center"/>
    </xf>
    <xf numFmtId="0" fontId="25" fillId="0" borderId="16" xfId="0" applyFont="1" applyBorder="1" applyAlignment="1">
      <alignment horizontal="center"/>
    </xf>
    <xf numFmtId="0" fontId="25" fillId="0" borderId="25" xfId="0" applyFont="1" applyBorder="1" applyAlignment="1">
      <alignment horizontal="center"/>
    </xf>
    <xf numFmtId="0" fontId="8" fillId="0" borderId="0" xfId="0" applyFont="1" applyBorder="1" applyAlignment="1">
      <alignment horizontal="left" wrapText="1"/>
    </xf>
    <xf numFmtId="0" fontId="25" fillId="12" borderId="20" xfId="0" applyFont="1" applyFill="1" applyBorder="1" applyAlignment="1">
      <alignment horizontal="center"/>
    </xf>
    <xf numFmtId="0" fontId="25" fillId="12" borderId="21" xfId="0" applyFont="1" applyFill="1" applyBorder="1" applyAlignment="1">
      <alignment horizontal="center"/>
    </xf>
    <xf numFmtId="0" fontId="25" fillId="12" borderId="22" xfId="0" applyFont="1" applyFill="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vertical="center"/>
    </xf>
  </cellXfs>
  <cellStyles count="38">
    <cellStyle name="Comma 13" xfId="21" xr:uid="{00000000-0005-0000-0000-000000000000}"/>
    <cellStyle name="Comma 2 2" xfId="25" xr:uid="{00000000-0005-0000-0000-000001000000}"/>
    <cellStyle name="Normal_SHEET" xfId="20" xr:uid="{00000000-0005-0000-0000-000002000000}"/>
    <cellStyle name="Percent 2 2" xfId="26" xr:uid="{00000000-0005-0000-0000-000003000000}"/>
    <cellStyle name="SAPBEXchaText" xfId="35" xr:uid="{00000000-0005-0000-0000-000004000000}"/>
    <cellStyle name="Гиперссылка" xfId="1" builtinId="8"/>
    <cellStyle name="Обычный" xfId="0" builtinId="0"/>
    <cellStyle name="Обычный 2" xfId="16" xr:uid="{00000000-0005-0000-0000-000006000000}"/>
    <cellStyle name="Обычный 2 2" xfId="2" xr:uid="{00000000-0005-0000-0000-000002000000}"/>
    <cellStyle name="Обычный 2 2 4" xfId="22" xr:uid="{00000000-0005-0000-0000-000008000000}"/>
    <cellStyle name="Обычный 2 3" xfId="18" xr:uid="{00000000-0005-0000-0000-000009000000}"/>
    <cellStyle name="Обычный 2 4" xfId="29" xr:uid="{00000000-0005-0000-0000-00000A000000}"/>
    <cellStyle name="Обычный 3" xfId="13" xr:uid="{00000000-0005-0000-0000-00000B000000}"/>
    <cellStyle name="Обычный 3 2" xfId="32" xr:uid="{00000000-0005-0000-0000-00000C000000}"/>
    <cellStyle name="Обычный 4" xfId="10" xr:uid="{00000000-0005-0000-0000-00000D000000}"/>
    <cellStyle name="Обычный 4 2" xfId="36" xr:uid="{00000000-0005-0000-0000-00000E000000}"/>
    <cellStyle name="Обычный 5" xfId="24" xr:uid="{00000000-0005-0000-0000-00000F000000}"/>
    <cellStyle name="Обычный 6" xfId="7" xr:uid="{00000000-0005-0000-0000-00003A000000}"/>
    <cellStyle name="Процентный" xfId="3" builtinId="5"/>
    <cellStyle name="Процентный 2" xfId="19" xr:uid="{00000000-0005-0000-0000-000011000000}"/>
    <cellStyle name="Процентный 2 2" xfId="4" xr:uid="{00000000-0005-0000-0000-000004000000}"/>
    <cellStyle name="Процентный 2 3" xfId="31" xr:uid="{00000000-0005-0000-0000-000013000000}"/>
    <cellStyle name="Процентный 2 4" xfId="33" xr:uid="{00000000-0005-0000-0000-000014000000}"/>
    <cellStyle name="Процентный 3" xfId="5" xr:uid="{00000000-0005-0000-0000-000005000000}"/>
    <cellStyle name="Процентный 3 2" xfId="11" xr:uid="{00000000-0005-0000-0000-000015000000}"/>
    <cellStyle name="Процентный 4" xfId="28" xr:uid="{00000000-0005-0000-0000-000016000000}"/>
    <cellStyle name="Процентный 5" xfId="9" xr:uid="{00000000-0005-0000-0000-000044000000}"/>
    <cellStyle name="Финансовый" xfId="37" builtinId="3"/>
    <cellStyle name="Финансовый 2" xfId="17" xr:uid="{00000000-0005-0000-0000-000018000000}"/>
    <cellStyle name="Финансовый 2 2" xfId="6" xr:uid="{00000000-0005-0000-0000-000006000000}"/>
    <cellStyle name="Финансовый 2 2 3" xfId="15" xr:uid="{00000000-0005-0000-0000-00001A000000}"/>
    <cellStyle name="Финансовый 2 3" xfId="30" xr:uid="{00000000-0005-0000-0000-00001B000000}"/>
    <cellStyle name="Финансовый 2 3 2" xfId="34" xr:uid="{00000000-0005-0000-0000-00001C000000}"/>
    <cellStyle name="Финансовый 3" xfId="14" xr:uid="{00000000-0005-0000-0000-00001D000000}"/>
    <cellStyle name="Финансовый 3 2" xfId="23" xr:uid="{00000000-0005-0000-0000-00001E000000}"/>
    <cellStyle name="Финансовый 4" xfId="12" xr:uid="{00000000-0005-0000-0000-00001F000000}"/>
    <cellStyle name="Финансовый 5" xfId="27" xr:uid="{00000000-0005-0000-0000-000020000000}"/>
    <cellStyle name="Финансовый 6" xfId="8" xr:uid="{00000000-0005-0000-0000-00004A000000}"/>
  </cellStyles>
  <dxfs count="0"/>
  <tableStyles count="0" defaultTableStyle="TableStyleMedium2" defaultPivotStyle="PivotStyleLight16"/>
  <colors>
    <mruColors>
      <color rgb="FFA7FFCF"/>
      <color rgb="FF96D728"/>
      <color rgb="FF7CBF33"/>
      <color rgb="FF373C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4" name="Рисунок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twoCellAnchor>
    <xdr:from>
      <xdr:col>13</xdr:col>
      <xdr:colOff>704849</xdr:colOff>
      <xdr:row>4</xdr:row>
      <xdr:rowOff>9526</xdr:rowOff>
    </xdr:from>
    <xdr:to>
      <xdr:col>14</xdr:col>
      <xdr:colOff>123825</xdr:colOff>
      <xdr:row>4</xdr:row>
      <xdr:rowOff>123826</xdr:rowOff>
    </xdr:to>
    <xdr:sp macro="" textlink="">
      <xdr:nvSpPr>
        <xdr:cNvPr id="2" name="Прямоугольник 1">
          <a:extLst>
            <a:ext uri="{FF2B5EF4-FFF2-40B4-BE49-F238E27FC236}">
              <a16:creationId xmlns:a16="http://schemas.microsoft.com/office/drawing/2014/main" id="{00000000-0008-0000-0100-000002000000}"/>
            </a:ext>
          </a:extLst>
        </xdr:cNvPr>
        <xdr:cNvSpPr/>
      </xdr:nvSpPr>
      <xdr:spPr>
        <a:xfrm>
          <a:off x="8553449" y="695326"/>
          <a:ext cx="180976"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ysClr val="windowText" lastClr="000000"/>
              </a:solidFill>
            </a:rPr>
            <a:t>[</a:t>
          </a:r>
          <a:r>
            <a:rPr lang="ru-RU" sz="700">
              <a:solidFill>
                <a:sysClr val="windowText" lastClr="000000"/>
              </a:solidFill>
            </a:rPr>
            <a:t>2</a:t>
          </a:r>
          <a:r>
            <a:rPr lang="en-US" sz="700">
              <a:solidFill>
                <a:sysClr val="windowText" lastClr="000000"/>
              </a:solidFill>
            </a:rPr>
            <a:t>]</a:t>
          </a:r>
          <a:endParaRPr lang="ru-RU" sz="700">
            <a:solidFill>
              <a:sysClr val="windowText" lastClr="000000"/>
            </a:solidFill>
          </a:endParaRPr>
        </a:p>
      </xdr:txBody>
    </xdr:sp>
    <xdr:clientData/>
  </xdr:twoCellAnchor>
  <xdr:twoCellAnchor>
    <xdr:from>
      <xdr:col>6</xdr:col>
      <xdr:colOff>704849</xdr:colOff>
      <xdr:row>4</xdr:row>
      <xdr:rowOff>168277</xdr:rowOff>
    </xdr:from>
    <xdr:to>
      <xdr:col>7</xdr:col>
      <xdr:colOff>155573</xdr:colOff>
      <xdr:row>5</xdr:row>
      <xdr:rowOff>107951</xdr:rowOff>
    </xdr:to>
    <xdr:sp macro="" textlink="">
      <xdr:nvSpPr>
        <xdr:cNvPr id="4" name="Прямоугольник 3">
          <a:extLst>
            <a:ext uri="{FF2B5EF4-FFF2-40B4-BE49-F238E27FC236}">
              <a16:creationId xmlns:a16="http://schemas.microsoft.com/office/drawing/2014/main" id="{E9AC108D-6D4B-460B-BC14-607243922CAA}"/>
            </a:ext>
          </a:extLst>
        </xdr:cNvPr>
        <xdr:cNvSpPr/>
      </xdr:nvSpPr>
      <xdr:spPr>
        <a:xfrm>
          <a:off x="9256182" y="866777"/>
          <a:ext cx="239183"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chemeClr val="bg1"/>
              </a:solidFill>
            </a:rPr>
            <a:t>[</a:t>
          </a:r>
          <a:r>
            <a:rPr lang="ru-RU" sz="700">
              <a:solidFill>
                <a:schemeClr val="bg1"/>
              </a:solidFill>
            </a:rPr>
            <a:t>1</a:t>
          </a:r>
          <a:r>
            <a:rPr lang="en-US" sz="700">
              <a:solidFill>
                <a:schemeClr val="bg1"/>
              </a:solidFill>
            </a:rPr>
            <a:t>]</a:t>
          </a:r>
          <a:endParaRPr lang="ru-RU" sz="700">
            <a:solidFill>
              <a:schemeClr val="bg1"/>
            </a:solidFill>
          </a:endParaRPr>
        </a:p>
      </xdr:txBody>
    </xdr:sp>
    <xdr:clientData/>
  </xdr:twoCellAnchor>
  <xdr:twoCellAnchor>
    <xdr:from>
      <xdr:col>17</xdr:col>
      <xdr:colOff>711653</xdr:colOff>
      <xdr:row>4</xdr:row>
      <xdr:rowOff>168277</xdr:rowOff>
    </xdr:from>
    <xdr:to>
      <xdr:col>18</xdr:col>
      <xdr:colOff>162376</xdr:colOff>
      <xdr:row>5</xdr:row>
      <xdr:rowOff>107951</xdr:rowOff>
    </xdr:to>
    <xdr:sp macro="" textlink="">
      <xdr:nvSpPr>
        <xdr:cNvPr id="7" name="Прямоугольник 6">
          <a:extLst>
            <a:ext uri="{FF2B5EF4-FFF2-40B4-BE49-F238E27FC236}">
              <a16:creationId xmlns:a16="http://schemas.microsoft.com/office/drawing/2014/main" id="{7842A503-ABE6-4856-B3F9-35EB3F2050E4}"/>
            </a:ext>
          </a:extLst>
        </xdr:cNvPr>
        <xdr:cNvSpPr/>
      </xdr:nvSpPr>
      <xdr:spPr>
        <a:xfrm>
          <a:off x="15257689" y="875848"/>
          <a:ext cx="205920" cy="116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chemeClr val="bg1"/>
              </a:solidFill>
            </a:rPr>
            <a:t>[</a:t>
          </a:r>
          <a:r>
            <a:rPr lang="ru-RU" sz="700">
              <a:solidFill>
                <a:schemeClr val="bg1"/>
              </a:solidFill>
            </a:rPr>
            <a:t>1</a:t>
          </a:r>
          <a:r>
            <a:rPr lang="en-US" sz="700">
              <a:solidFill>
                <a:schemeClr val="bg1"/>
              </a:solidFill>
            </a:rPr>
            <a:t>]</a:t>
          </a:r>
          <a:endParaRPr lang="ru-RU" sz="7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twoCellAnchor>
    <xdr:from>
      <xdr:col>5</xdr:col>
      <xdr:colOff>659946</xdr:colOff>
      <xdr:row>4</xdr:row>
      <xdr:rowOff>112939</xdr:rowOff>
    </xdr:from>
    <xdr:to>
      <xdr:col>6</xdr:col>
      <xdr:colOff>238125</xdr:colOff>
      <xdr:row>6</xdr:row>
      <xdr:rowOff>36739</xdr:rowOff>
    </xdr:to>
    <xdr:sp macro="" textlink="">
      <xdr:nvSpPr>
        <xdr:cNvPr id="2" name="Прямоугольник 1">
          <a:extLst>
            <a:ext uri="{FF2B5EF4-FFF2-40B4-BE49-F238E27FC236}">
              <a16:creationId xmlns:a16="http://schemas.microsoft.com/office/drawing/2014/main" id="{7637A40C-574E-4ACA-8A85-C95DDD4477B6}"/>
            </a:ext>
          </a:extLst>
        </xdr:cNvPr>
        <xdr:cNvSpPr/>
      </xdr:nvSpPr>
      <xdr:spPr>
        <a:xfrm>
          <a:off x="6962322" y="811439"/>
          <a:ext cx="32959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chemeClr val="bg1"/>
              </a:solidFill>
            </a:rPr>
            <a:t>[</a:t>
          </a:r>
          <a:r>
            <a:rPr lang="ru-RU" sz="800">
              <a:solidFill>
                <a:schemeClr val="bg1"/>
              </a:solidFill>
            </a:rPr>
            <a:t>1</a:t>
          </a:r>
          <a:r>
            <a:rPr lang="en-US" sz="800">
              <a:solidFill>
                <a:schemeClr val="bg1"/>
              </a:solidFill>
            </a:rPr>
            <a:t>]</a:t>
          </a:r>
          <a:endParaRPr lang="ru-RU" sz="800">
            <a:solidFill>
              <a:schemeClr val="bg1"/>
            </a:solidFill>
          </a:endParaRPr>
        </a:p>
      </xdr:txBody>
    </xdr:sp>
    <xdr:clientData/>
  </xdr:twoCellAnchor>
  <xdr:twoCellAnchor>
    <xdr:from>
      <xdr:col>16</xdr:col>
      <xdr:colOff>662480</xdr:colOff>
      <xdr:row>4</xdr:row>
      <xdr:rowOff>112939</xdr:rowOff>
    </xdr:from>
    <xdr:to>
      <xdr:col>17</xdr:col>
      <xdr:colOff>248707</xdr:colOff>
      <xdr:row>6</xdr:row>
      <xdr:rowOff>36739</xdr:rowOff>
    </xdr:to>
    <xdr:sp macro="" textlink="">
      <xdr:nvSpPr>
        <xdr:cNvPr id="4" name="Прямоугольник 3">
          <a:extLst>
            <a:ext uri="{FF2B5EF4-FFF2-40B4-BE49-F238E27FC236}">
              <a16:creationId xmlns:a16="http://schemas.microsoft.com/office/drawing/2014/main" id="{688B1E1A-AF93-4DCC-8C8C-34BF09AB9F91}"/>
            </a:ext>
          </a:extLst>
        </xdr:cNvPr>
        <xdr:cNvSpPr/>
      </xdr:nvSpPr>
      <xdr:spPr>
        <a:xfrm>
          <a:off x="13230189" y="811439"/>
          <a:ext cx="337644"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chemeClr val="bg1"/>
              </a:solidFill>
            </a:rPr>
            <a:t>[</a:t>
          </a:r>
          <a:r>
            <a:rPr lang="ru-RU" sz="800">
              <a:solidFill>
                <a:schemeClr val="bg1"/>
              </a:solidFill>
            </a:rPr>
            <a:t>1</a:t>
          </a:r>
          <a:r>
            <a:rPr lang="en-US" sz="800">
              <a:solidFill>
                <a:schemeClr val="bg1"/>
              </a:solidFill>
            </a:rPr>
            <a:t>]</a:t>
          </a:r>
          <a:endParaRPr lang="ru-RU" sz="800">
            <a:solidFill>
              <a:schemeClr val="bg1"/>
            </a:solidFill>
          </a:endParaRPr>
        </a:p>
      </xdr:txBody>
    </xdr:sp>
    <xdr:clientData/>
  </xdr:twoCellAnchor>
  <xdr:twoCellAnchor>
    <xdr:from>
      <xdr:col>6</xdr:col>
      <xdr:colOff>659945</xdr:colOff>
      <xdr:row>4</xdr:row>
      <xdr:rowOff>112939</xdr:rowOff>
    </xdr:from>
    <xdr:to>
      <xdr:col>7</xdr:col>
      <xdr:colOff>238125</xdr:colOff>
      <xdr:row>6</xdr:row>
      <xdr:rowOff>36739</xdr:rowOff>
    </xdr:to>
    <xdr:sp macro="" textlink="">
      <xdr:nvSpPr>
        <xdr:cNvPr id="8" name="Прямоугольник 7">
          <a:extLst>
            <a:ext uri="{FF2B5EF4-FFF2-40B4-BE49-F238E27FC236}">
              <a16:creationId xmlns:a16="http://schemas.microsoft.com/office/drawing/2014/main" id="{1CD262B8-6E8B-4A64-8F37-DB7E603ED9B0}"/>
            </a:ext>
          </a:extLst>
        </xdr:cNvPr>
        <xdr:cNvSpPr/>
      </xdr:nvSpPr>
      <xdr:spPr>
        <a:xfrm>
          <a:off x="7728856" y="820510"/>
          <a:ext cx="333376" cy="277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chemeClr val="bg1"/>
              </a:solidFill>
            </a:rPr>
            <a:t>[</a:t>
          </a:r>
          <a:r>
            <a:rPr lang="ru-RU" sz="800">
              <a:solidFill>
                <a:schemeClr val="bg1"/>
              </a:solidFill>
            </a:rPr>
            <a:t>2</a:t>
          </a:r>
          <a:r>
            <a:rPr lang="en-US" sz="800">
              <a:solidFill>
                <a:schemeClr val="bg1"/>
              </a:solidFill>
            </a:rPr>
            <a:t>]</a:t>
          </a:r>
          <a:endParaRPr lang="ru-RU" sz="800">
            <a:solidFill>
              <a:schemeClr val="bg1"/>
            </a:solidFill>
          </a:endParaRPr>
        </a:p>
      </xdr:txBody>
    </xdr:sp>
    <xdr:clientData/>
  </xdr:twoCellAnchor>
  <xdr:twoCellAnchor>
    <xdr:from>
      <xdr:col>17</xdr:col>
      <xdr:colOff>646339</xdr:colOff>
      <xdr:row>4</xdr:row>
      <xdr:rowOff>112939</xdr:rowOff>
    </xdr:from>
    <xdr:to>
      <xdr:col>18</xdr:col>
      <xdr:colOff>224518</xdr:colOff>
      <xdr:row>6</xdr:row>
      <xdr:rowOff>36739</xdr:rowOff>
    </xdr:to>
    <xdr:sp macro="" textlink="">
      <xdr:nvSpPr>
        <xdr:cNvPr id="9" name="Прямоугольник 8">
          <a:extLst>
            <a:ext uri="{FF2B5EF4-FFF2-40B4-BE49-F238E27FC236}">
              <a16:creationId xmlns:a16="http://schemas.microsoft.com/office/drawing/2014/main" id="{4AA85C18-B621-4BC8-974A-7643359B7D99}"/>
            </a:ext>
          </a:extLst>
        </xdr:cNvPr>
        <xdr:cNvSpPr/>
      </xdr:nvSpPr>
      <xdr:spPr>
        <a:xfrm>
          <a:off x="14008553" y="820510"/>
          <a:ext cx="333376" cy="277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chemeClr val="bg1"/>
              </a:solidFill>
            </a:rPr>
            <a:t>[</a:t>
          </a:r>
          <a:r>
            <a:rPr lang="ru-RU" sz="800">
              <a:solidFill>
                <a:schemeClr val="bg1"/>
              </a:solidFill>
            </a:rPr>
            <a:t>2</a:t>
          </a:r>
          <a:r>
            <a:rPr lang="en-US" sz="800">
              <a:solidFill>
                <a:schemeClr val="bg1"/>
              </a:solidFill>
            </a:rPr>
            <a:t>]</a:t>
          </a:r>
          <a:endParaRPr lang="ru-RU" sz="8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twoCellAnchor>
    <xdr:from>
      <xdr:col>13</xdr:col>
      <xdr:colOff>714375</xdr:colOff>
      <xdr:row>4</xdr:row>
      <xdr:rowOff>19050</xdr:rowOff>
    </xdr:from>
    <xdr:to>
      <xdr:col>14</xdr:col>
      <xdr:colOff>133351</xdr:colOff>
      <xdr:row>4</xdr:row>
      <xdr:rowOff>133350</xdr:rowOff>
    </xdr:to>
    <xdr:sp macro="" textlink="">
      <xdr:nvSpPr>
        <xdr:cNvPr id="4" name="Прямоугольник 3">
          <a:extLst>
            <a:ext uri="{FF2B5EF4-FFF2-40B4-BE49-F238E27FC236}">
              <a16:creationId xmlns:a16="http://schemas.microsoft.com/office/drawing/2014/main" id="{00000000-0008-0000-0300-000004000000}"/>
            </a:ext>
          </a:extLst>
        </xdr:cNvPr>
        <xdr:cNvSpPr/>
      </xdr:nvSpPr>
      <xdr:spPr>
        <a:xfrm>
          <a:off x="8934450" y="704850"/>
          <a:ext cx="180976"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ysClr val="windowText" lastClr="000000"/>
              </a:solidFill>
            </a:rPr>
            <a:t>[</a:t>
          </a:r>
          <a:r>
            <a:rPr lang="ru-RU" sz="700">
              <a:solidFill>
                <a:sysClr val="windowText" lastClr="000000"/>
              </a:solidFill>
            </a:rPr>
            <a:t>2</a:t>
          </a:r>
          <a:r>
            <a:rPr lang="en-US" sz="700">
              <a:solidFill>
                <a:sysClr val="windowText" lastClr="000000"/>
              </a:solidFill>
            </a:rPr>
            <a:t>]</a:t>
          </a:r>
          <a:endParaRPr lang="ru-RU" sz="700">
            <a:solidFill>
              <a:sysClr val="windowText" lastClr="000000"/>
            </a:solidFill>
          </a:endParaRPr>
        </a:p>
      </xdr:txBody>
    </xdr:sp>
    <xdr:clientData/>
  </xdr:twoCellAnchor>
  <xdr:twoCellAnchor>
    <xdr:from>
      <xdr:col>6</xdr:col>
      <xdr:colOff>709613</xdr:colOff>
      <xdr:row>4</xdr:row>
      <xdr:rowOff>171450</xdr:rowOff>
    </xdr:from>
    <xdr:to>
      <xdr:col>7</xdr:col>
      <xdr:colOff>128589</xdr:colOff>
      <xdr:row>5</xdr:row>
      <xdr:rowOff>109537</xdr:rowOff>
    </xdr:to>
    <xdr:sp macro="" textlink="">
      <xdr:nvSpPr>
        <xdr:cNvPr id="5" name="Прямоугольник 4">
          <a:extLst>
            <a:ext uri="{FF2B5EF4-FFF2-40B4-BE49-F238E27FC236}">
              <a16:creationId xmlns:a16="http://schemas.microsoft.com/office/drawing/2014/main" id="{615F280A-D661-4A09-92C9-B64626C98B82}"/>
            </a:ext>
          </a:extLst>
        </xdr:cNvPr>
        <xdr:cNvSpPr/>
      </xdr:nvSpPr>
      <xdr:spPr>
        <a:xfrm>
          <a:off x="9405938" y="876300"/>
          <a:ext cx="152401"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chemeClr val="bg1"/>
              </a:solidFill>
            </a:rPr>
            <a:t>[</a:t>
          </a:r>
          <a:r>
            <a:rPr lang="ru-RU" sz="700">
              <a:solidFill>
                <a:schemeClr val="bg1"/>
              </a:solidFill>
            </a:rPr>
            <a:t>1</a:t>
          </a:r>
          <a:r>
            <a:rPr lang="en-US" sz="700">
              <a:solidFill>
                <a:schemeClr val="bg1"/>
              </a:solidFill>
            </a:rPr>
            <a:t>]</a:t>
          </a:r>
          <a:endParaRPr lang="ru-RU" sz="700">
            <a:solidFill>
              <a:schemeClr val="bg1"/>
            </a:solidFill>
          </a:endParaRPr>
        </a:p>
      </xdr:txBody>
    </xdr:sp>
    <xdr:clientData/>
  </xdr:twoCellAnchor>
  <xdr:twoCellAnchor>
    <xdr:from>
      <xdr:col>17</xdr:col>
      <xdr:colOff>709613</xdr:colOff>
      <xdr:row>4</xdr:row>
      <xdr:rowOff>171450</xdr:rowOff>
    </xdr:from>
    <xdr:to>
      <xdr:col>18</xdr:col>
      <xdr:colOff>128589</xdr:colOff>
      <xdr:row>5</xdr:row>
      <xdr:rowOff>109537</xdr:rowOff>
    </xdr:to>
    <xdr:sp macro="" textlink="">
      <xdr:nvSpPr>
        <xdr:cNvPr id="6" name="Прямоугольник 5">
          <a:extLst>
            <a:ext uri="{FF2B5EF4-FFF2-40B4-BE49-F238E27FC236}">
              <a16:creationId xmlns:a16="http://schemas.microsoft.com/office/drawing/2014/main" id="{35E8B4BE-D00D-40CA-A2C7-6ACFCC2A2585}"/>
            </a:ext>
          </a:extLst>
        </xdr:cNvPr>
        <xdr:cNvSpPr/>
      </xdr:nvSpPr>
      <xdr:spPr>
        <a:xfrm>
          <a:off x="15444788" y="876300"/>
          <a:ext cx="152401"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chemeClr val="bg1"/>
              </a:solidFill>
            </a:rPr>
            <a:t>[</a:t>
          </a:r>
          <a:r>
            <a:rPr lang="ru-RU" sz="700">
              <a:solidFill>
                <a:schemeClr val="bg1"/>
              </a:solidFill>
            </a:rPr>
            <a:t>1</a:t>
          </a:r>
          <a:r>
            <a:rPr lang="en-US" sz="700">
              <a:solidFill>
                <a:schemeClr val="bg1"/>
              </a:solidFill>
            </a:rPr>
            <a:t>]</a:t>
          </a:r>
          <a:endParaRPr lang="ru-RU" sz="700">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104626</xdr:rowOff>
    </xdr:to>
    <xdr:pic>
      <xdr:nvPicPr>
        <xdr:cNvPr id="3" name="Рисунок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showGridLines="0" tabSelected="1" zoomScale="115" zoomScaleNormal="115" workbookViewId="0"/>
  </sheetViews>
  <sheetFormatPr defaultRowHeight="14.4" x14ac:dyDescent="0.3"/>
  <cols>
    <col min="1" max="1" width="6" customWidth="1"/>
    <col min="2" max="2" width="34" customWidth="1"/>
    <col min="3" max="3" width="48.109375" customWidth="1"/>
  </cols>
  <sheetData>
    <row r="1" spans="1:6" ht="14.1" customHeight="1" x14ac:dyDescent="0.3"/>
    <row r="2" spans="1:6" ht="14.1" customHeight="1" x14ac:dyDescent="0.3">
      <c r="B2" s="465" t="str">
        <f>IF(LanguagePage!$C$530=1,LanguagePage!$C$527,LanguagePage!$C$528)</f>
        <v>СОДЕРЖАНИЕ</v>
      </c>
      <c r="C2" s="465"/>
      <c r="D2" s="123"/>
      <c r="E2" s="189"/>
      <c r="F2" s="189"/>
    </row>
    <row r="3" spans="1:6" ht="14.1" customHeight="1" x14ac:dyDescent="0.3"/>
    <row r="4" spans="1:6" ht="14.1" customHeight="1" x14ac:dyDescent="0.3">
      <c r="B4" s="463" t="s">
        <v>779</v>
      </c>
      <c r="C4" s="464"/>
    </row>
    <row r="5" spans="1:6" ht="14.1" customHeight="1" x14ac:dyDescent="0.3"/>
    <row r="6" spans="1:6" ht="4.5" customHeight="1" x14ac:dyDescent="0.3">
      <c r="B6" s="190"/>
      <c r="C6" s="190"/>
      <c r="D6" s="1"/>
    </row>
    <row r="7" spans="1:6" x14ac:dyDescent="0.3">
      <c r="B7" s="191" t="str">
        <f>CHOOSE(LanguagePage!$C$530,LanguagePage!C532,LanguagePage!D532)</f>
        <v>Финансовая отчетность</v>
      </c>
      <c r="C7" s="191" t="str">
        <f>CHOOSE(LanguagePage!$C$530,LanguagePage!C543,LanguagePage!D543)</f>
        <v>Ключевые финансовые и операционные показатели</v>
      </c>
      <c r="D7" s="1"/>
    </row>
    <row r="8" spans="1:6" x14ac:dyDescent="0.3">
      <c r="B8" s="191" t="str">
        <f>CHOOSE(LanguagePage!$C$530,LanguagePage!C533,LanguagePage!D533)</f>
        <v>Годовая</v>
      </c>
      <c r="D8" s="1"/>
    </row>
    <row r="9" spans="1:6" x14ac:dyDescent="0.3">
      <c r="A9" s="209"/>
      <c r="B9" s="208" t="str">
        <f>CHOOSE(LanguagePage!$C$530,LanguagePage!C534,LanguagePage!D534)</f>
        <v>Отчет о прибылях и убытках</v>
      </c>
      <c r="C9" s="208" t="str">
        <f>CHOOSE(LanguagePage!$C$530,LanguagePage!C544,LanguagePage!D544)</f>
        <v>Финансовые показатели</v>
      </c>
      <c r="D9" s="1"/>
    </row>
    <row r="10" spans="1:6" x14ac:dyDescent="0.3">
      <c r="A10" s="209"/>
      <c r="B10" s="208" t="str">
        <f>CHOOSE(LanguagePage!$C$530,LanguagePage!C535,LanguagePage!D535)</f>
        <v>Отчет о финансовом положении</v>
      </c>
      <c r="C10" s="208" t="str">
        <f>CHOOSE(LanguagePage!$C$530,LanguagePage!C545,LanguagePage!D545)</f>
        <v>Операционные показатели</v>
      </c>
      <c r="D10" s="1"/>
    </row>
    <row r="11" spans="1:6" x14ac:dyDescent="0.3">
      <c r="A11" s="209"/>
      <c r="B11" s="208" t="str">
        <f>CHOOSE(LanguagePage!$C$530,LanguagePage!C536,LanguagePage!D536)</f>
        <v>Отчет о движении денежных средств</v>
      </c>
      <c r="C11" s="208" t="str">
        <f>CHOOSE(LanguagePage!$C$530,LanguagePage!C546,LanguagePage!D546)</f>
        <v>EBITDA (по итогам года)</v>
      </c>
      <c r="D11" s="1"/>
    </row>
    <row r="12" spans="1:6" x14ac:dyDescent="0.3">
      <c r="B12" s="191" t="str">
        <f>CHOOSE(LanguagePage!$C$530,LanguagePage!C537,LanguagePage!D537)</f>
        <v>Полугодовая</v>
      </c>
      <c r="C12" s="208" t="str">
        <f>CHOOSE(LanguagePage!$C$530,LanguagePage!C547,LanguagePage!D547)</f>
        <v>EBITDA (по итогам полугодия)</v>
      </c>
      <c r="D12" s="1"/>
    </row>
    <row r="13" spans="1:6" x14ac:dyDescent="0.3">
      <c r="A13" s="209"/>
      <c r="B13" s="208" t="str">
        <f>CHOOSE(LanguagePage!$C$530,LanguagePage!C538,LanguagePage!D538)</f>
        <v>Отчет о прибылях и убытках</v>
      </c>
      <c r="C13" s="208" t="str">
        <f>CHOOSE(LanguagePage!$C$530,LanguagePage!C548,LanguagePage!D548)</f>
        <v>Долговая нагрузка (по итогам года)</v>
      </c>
      <c r="D13" s="1"/>
    </row>
    <row r="14" spans="1:6" x14ac:dyDescent="0.3">
      <c r="A14" s="209"/>
      <c r="B14" s="208" t="str">
        <f>CHOOSE(LanguagePage!$C$530,LanguagePage!C539,LanguagePage!D539)</f>
        <v>Отчет о финансовом положении</v>
      </c>
      <c r="C14" s="208" t="str">
        <f>CHOOSE(LanguagePage!$C$530,LanguagePage!C549,LanguagePage!D549)</f>
        <v>Долговая нагрузка (по итогам полугодия)</v>
      </c>
      <c r="D14" s="1"/>
    </row>
    <row r="15" spans="1:6" x14ac:dyDescent="0.3">
      <c r="A15" s="209"/>
      <c r="B15" s="208" t="str">
        <f>CHOOSE(LanguagePage!$C$530,LanguagePage!C540,LanguagePage!D540)</f>
        <v>Отчет о движении денежных средств</v>
      </c>
      <c r="C15" s="1"/>
      <c r="D15" s="1"/>
    </row>
  </sheetData>
  <mergeCells count="2">
    <mergeCell ref="B4:C4"/>
    <mergeCell ref="B2:C2"/>
  </mergeCells>
  <dataValidations count="1">
    <dataValidation type="list" allowBlank="1" showInputMessage="1" showErrorMessage="1" sqref="B4" xr:uid="{00000000-0002-0000-0000-000000000000}">
      <formula1>"Выбор языка: РУССКИЙ,Language: ENGLISH"</formula1>
    </dataValidation>
  </dataValidations>
  <hyperlinks>
    <hyperlink ref="B9" location="FY_IFRS_PL!A1" display="FY_IFRS_PL!A1" xr:uid="{00000000-0004-0000-0000-000000000000}"/>
    <hyperlink ref="B10" location="FY_IFRS_BS!A1" display="FY_IFRS_BS!A1" xr:uid="{00000000-0004-0000-0000-000001000000}"/>
    <hyperlink ref="B11" location="FY_IFRS_CF!A1" display="FY_IFRS_CF!A1" xr:uid="{00000000-0004-0000-0000-000002000000}"/>
    <hyperlink ref="B13" location="HY_IFRS_PL!A1" display="HY_IFRS_PL!A1" xr:uid="{00000000-0004-0000-0000-000003000000}"/>
    <hyperlink ref="B14" location="HY_IFRS_BS!A1" display="HY_IFRS_BS!A1" xr:uid="{00000000-0004-0000-0000-000004000000}"/>
    <hyperlink ref="B15" location="HY_IFRS_CF!A1" display="HY_IFRS_CF!A1" xr:uid="{00000000-0004-0000-0000-000005000000}"/>
    <hyperlink ref="C9" location="'Financial Highlights'!A1" display="'Financial Highlights'!A1" xr:uid="{00000000-0004-0000-0000-000006000000}"/>
    <hyperlink ref="C10" location="'Operating Highlights'!A1" display="'Operating Highlights'!A1" xr:uid="{00000000-0004-0000-0000-000007000000}"/>
    <hyperlink ref="C11" location="FY_IFRS_EBITDA!A1" display="FY_IFRS_EBITDA!A1" xr:uid="{00000000-0004-0000-0000-000008000000}"/>
    <hyperlink ref="C12" location="HY_IFRS_EBITDA!A1" display="HY_IFRS_EBITDA!A1" xr:uid="{00000000-0004-0000-0000-000009000000}"/>
    <hyperlink ref="C13" location="FY_IFRS_Debt!A1" display="FY_IFRS_Debt!A1" xr:uid="{00000000-0004-0000-0000-00000A000000}"/>
    <hyperlink ref="C14" location="HY_IFRS_Debt!A1" display="HY_IFRS_Debt!A1" xr:uid="{00000000-0004-0000-0000-00000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1:AA25"/>
  <sheetViews>
    <sheetView showGridLines="0" zoomScale="80" zoomScaleNormal="80" workbookViewId="0">
      <pane ySplit="6" topLeftCell="A7" activePane="bottomLeft" state="frozen"/>
      <selection activeCell="F29" sqref="F29"/>
      <selection pane="bottomLeft"/>
    </sheetView>
  </sheetViews>
  <sheetFormatPr defaultColWidth="9.109375" defaultRowHeight="13.8" x14ac:dyDescent="0.3"/>
  <cols>
    <col min="1" max="1" width="6" style="36" customWidth="1"/>
    <col min="2" max="2" width="43.6640625" style="2" customWidth="1"/>
    <col min="3" max="9" width="10" style="7" customWidth="1"/>
    <col min="10" max="10" width="3.109375" style="275" customWidth="1"/>
    <col min="11" max="12" width="10" style="7" customWidth="1"/>
    <col min="13" max="13" width="9.109375" style="1"/>
    <col min="14" max="20" width="10" style="1" customWidth="1"/>
    <col min="21" max="21" width="3.109375" style="263" customWidth="1"/>
    <col min="22" max="23" width="10" style="1" customWidth="1"/>
    <col min="24" max="24" width="6.6640625" style="1" customWidth="1"/>
    <col min="25" max="16384" width="9.109375" style="1"/>
  </cols>
  <sheetData>
    <row r="1" spans="1:23" ht="14.1" customHeight="1" x14ac:dyDescent="0.3">
      <c r="B1" s="123"/>
      <c r="C1" s="123"/>
      <c r="D1" s="123"/>
      <c r="E1" s="123"/>
      <c r="F1" s="123"/>
      <c r="G1" s="123"/>
      <c r="H1" s="123"/>
      <c r="I1" s="123"/>
      <c r="J1" s="261"/>
      <c r="K1" s="123"/>
      <c r="L1" s="123"/>
      <c r="N1" s="27"/>
    </row>
    <row r="2" spans="1:23" ht="14.1" customHeight="1" x14ac:dyDescent="0.3">
      <c r="B2" s="465" t="s">
        <v>222</v>
      </c>
      <c r="C2" s="465"/>
      <c r="D2" s="465"/>
      <c r="E2" s="465"/>
      <c r="F2" s="465"/>
      <c r="G2" s="465"/>
      <c r="H2" s="465"/>
      <c r="I2" s="465"/>
      <c r="J2" s="465"/>
      <c r="K2" s="465"/>
      <c r="L2" s="465"/>
      <c r="M2" s="465"/>
      <c r="N2" s="465"/>
      <c r="W2" s="211" t="str">
        <f>Contents!$B$2</f>
        <v>СОДЕРЖАНИЕ</v>
      </c>
    </row>
    <row r="3" spans="1:23" ht="14.1" customHeight="1" x14ac:dyDescent="0.3">
      <c r="C3" s="1"/>
      <c r="D3" s="1"/>
      <c r="E3" s="1"/>
      <c r="F3" s="1"/>
      <c r="G3" s="1"/>
      <c r="H3" s="1"/>
      <c r="I3" s="1"/>
      <c r="J3" s="263"/>
      <c r="K3" s="1"/>
      <c r="L3" s="1"/>
    </row>
    <row r="4" spans="1:23" ht="14.1" customHeight="1" x14ac:dyDescent="0.3">
      <c r="B4" s="230" t="str">
        <f>Contents!$B$4</f>
        <v>Выбор языка: РУССКИЙ</v>
      </c>
      <c r="C4" s="474" t="str">
        <f>CHOOSE(LanguagePage!$C$265,LanguagePage!$D$266,LanguagePage!$D$267)</f>
        <v>тыс. BYN</v>
      </c>
      <c r="D4" s="475"/>
      <c r="E4" s="475"/>
      <c r="F4" s="475"/>
      <c r="G4" s="475"/>
      <c r="H4" s="475"/>
      <c r="I4" s="475"/>
      <c r="J4" s="475"/>
      <c r="K4" s="475"/>
      <c r="L4" s="476"/>
      <c r="N4" s="474" t="str">
        <f>CHOOSE(LanguagePage!$C$265,LanguagePage!E266,LanguagePage!E267)</f>
        <v>тыс. USD</v>
      </c>
      <c r="O4" s="475"/>
      <c r="P4" s="475"/>
      <c r="Q4" s="475"/>
      <c r="R4" s="475"/>
      <c r="S4" s="475"/>
      <c r="T4" s="475"/>
      <c r="U4" s="475"/>
      <c r="V4" s="475"/>
      <c r="W4" s="476"/>
    </row>
    <row r="5" spans="1:23" ht="14.1" customHeight="1" x14ac:dyDescent="0.3">
      <c r="C5" s="477" t="s">
        <v>721</v>
      </c>
      <c r="D5" s="477"/>
      <c r="E5" s="477"/>
      <c r="F5" s="477"/>
      <c r="G5" s="477"/>
      <c r="H5" s="477"/>
      <c r="I5" s="477"/>
      <c r="J5" s="263"/>
      <c r="K5" s="478" t="s">
        <v>722</v>
      </c>
      <c r="L5" s="478"/>
      <c r="N5" s="26">
        <v>1.1850000000000001</v>
      </c>
      <c r="O5" s="26">
        <v>1.586462</v>
      </c>
      <c r="P5" s="26">
        <v>1.9884999999999999</v>
      </c>
      <c r="Q5" s="26">
        <v>1.9318</v>
      </c>
      <c r="R5" s="26">
        <v>2.0366</v>
      </c>
      <c r="S5" s="26">
        <v>2.0914000000000001</v>
      </c>
      <c r="T5" s="26">
        <v>2.4348999999999998</v>
      </c>
      <c r="U5" s="1"/>
      <c r="V5" s="26">
        <f>S5</f>
        <v>2.0914000000000001</v>
      </c>
      <c r="W5" s="26">
        <v>2.4348999999999998</v>
      </c>
    </row>
    <row r="6" spans="1:23" ht="14.1" customHeight="1" x14ac:dyDescent="0.3">
      <c r="B6" s="8"/>
      <c r="C6" s="14">
        <f>CHOOSE(LanguagePage!$C$265,LanguagePage!D$269,LanguagePage!D$270)</f>
        <v>2014</v>
      </c>
      <c r="D6" s="14">
        <f>CHOOSE(LanguagePage!$C$265,LanguagePage!E$269,LanguagePage!E$270)</f>
        <v>2015</v>
      </c>
      <c r="E6" s="14">
        <f>CHOOSE(LanguagePage!$C$265,LanguagePage!F$269,LanguagePage!F$270)</f>
        <v>2016</v>
      </c>
      <c r="F6" s="14">
        <f>CHOOSE(LanguagePage!$C$265,LanguagePage!G$269,LanguagePage!G$270)</f>
        <v>2017</v>
      </c>
      <c r="G6" s="14">
        <f>CHOOSE(LanguagePage!$C$265,LanguagePage!H$269,LanguagePage!H$270)</f>
        <v>2018</v>
      </c>
      <c r="H6" s="14">
        <f>CHOOSE(LanguagePage!$C$265,LanguagePage!I$269,LanguagePage!I$270)</f>
        <v>2019</v>
      </c>
      <c r="I6" s="14">
        <f>CHOOSE(LanguagePage!$C$265,LanguagePage!J$269,LanguagePage!J$270)</f>
        <v>2020</v>
      </c>
      <c r="J6" s="264"/>
      <c r="K6" s="255">
        <f>H6</f>
        <v>2019</v>
      </c>
      <c r="L6" s="255">
        <f>I6</f>
        <v>2020</v>
      </c>
      <c r="N6" s="14">
        <f t="shared" ref="N6:T6" si="0">C6</f>
        <v>2014</v>
      </c>
      <c r="O6" s="14">
        <f t="shared" si="0"/>
        <v>2015</v>
      </c>
      <c r="P6" s="14">
        <f t="shared" si="0"/>
        <v>2016</v>
      </c>
      <c r="Q6" s="14">
        <f t="shared" si="0"/>
        <v>2017</v>
      </c>
      <c r="R6" s="14">
        <f t="shared" si="0"/>
        <v>2018</v>
      </c>
      <c r="S6" s="14">
        <f t="shared" si="0"/>
        <v>2019</v>
      </c>
      <c r="T6" s="14">
        <f t="shared" si="0"/>
        <v>2020</v>
      </c>
      <c r="V6" s="255">
        <f>S6</f>
        <v>2019</v>
      </c>
      <c r="W6" s="255">
        <f>T6</f>
        <v>2020</v>
      </c>
    </row>
    <row r="7" spans="1:23" s="36" customFormat="1" x14ac:dyDescent="0.3">
      <c r="B7" s="62"/>
      <c r="C7" s="63"/>
      <c r="D7" s="63"/>
      <c r="E7" s="63"/>
      <c r="F7" s="63"/>
      <c r="G7" s="63"/>
      <c r="H7" s="63"/>
      <c r="I7" s="63"/>
      <c r="J7" s="264"/>
      <c r="K7" s="63"/>
      <c r="L7" s="63"/>
      <c r="N7" s="63"/>
      <c r="O7" s="63"/>
      <c r="P7" s="63"/>
      <c r="U7" s="263"/>
    </row>
    <row r="8" spans="1:23" x14ac:dyDescent="0.3">
      <c r="A8" s="37"/>
      <c r="B8" s="346" t="str">
        <f>CHOOSE(LanguagePage!$C$265,LanguagePage!$C280,LanguagePage!$D280)</f>
        <v>Выручка, процентные и комиссионные доходы</v>
      </c>
      <c r="C8" s="323">
        <v>2407930</v>
      </c>
      <c r="D8" s="323">
        <v>2986568</v>
      </c>
      <c r="E8" s="323">
        <v>3638760</v>
      </c>
      <c r="F8" s="323">
        <v>3932801</v>
      </c>
      <c r="G8" s="323">
        <v>4458343</v>
      </c>
      <c r="H8" s="323">
        <v>4917570</v>
      </c>
      <c r="I8" s="323">
        <f>FY_IFRS_PL!I8</f>
        <v>5287235</v>
      </c>
      <c r="J8" s="326"/>
      <c r="K8" s="323">
        <v>4917570</v>
      </c>
      <c r="L8" s="323">
        <f>FY_IFRS_PL!L8</f>
        <v>5287235</v>
      </c>
      <c r="M8" s="378"/>
      <c r="N8" s="323">
        <f t="shared" ref="N8:T8" si="1">C8/N$5</f>
        <v>2032008.4388185653</v>
      </c>
      <c r="O8" s="323">
        <f t="shared" si="1"/>
        <v>1882533.5873156746</v>
      </c>
      <c r="P8" s="323">
        <f t="shared" si="1"/>
        <v>1829901.9361327635</v>
      </c>
      <c r="Q8" s="323">
        <f t="shared" si="1"/>
        <v>2035822.0312661766</v>
      </c>
      <c r="R8" s="323">
        <f t="shared" si="1"/>
        <v>2189110.7728567221</v>
      </c>
      <c r="S8" s="323">
        <f t="shared" si="1"/>
        <v>2351329.2531318734</v>
      </c>
      <c r="T8" s="323">
        <f t="shared" si="1"/>
        <v>2171438.2520842748</v>
      </c>
      <c r="U8" s="386"/>
      <c r="V8" s="323">
        <f>K8/V$5</f>
        <v>2351329.2531318734</v>
      </c>
      <c r="W8" s="323">
        <f>L8/W$5</f>
        <v>2171438.2520842748</v>
      </c>
    </row>
    <row r="9" spans="1:23" ht="12.6" customHeight="1" x14ac:dyDescent="0.3">
      <c r="A9" s="37"/>
      <c r="B9" s="347"/>
      <c r="C9" s="325"/>
      <c r="D9" s="325"/>
      <c r="E9" s="325"/>
      <c r="F9" s="325"/>
      <c r="G9" s="325"/>
      <c r="H9" s="325"/>
      <c r="I9" s="325"/>
      <c r="J9" s="326"/>
      <c r="K9" s="325"/>
      <c r="L9" s="325"/>
      <c r="M9" s="378"/>
      <c r="N9" s="325"/>
      <c r="O9" s="325"/>
      <c r="P9" s="325"/>
      <c r="Q9" s="304"/>
      <c r="R9" s="304"/>
      <c r="S9" s="304"/>
      <c r="T9" s="304"/>
      <c r="U9" s="386"/>
      <c r="V9" s="304"/>
      <c r="W9" s="304"/>
    </row>
    <row r="10" spans="1:23" x14ac:dyDescent="0.3">
      <c r="A10" s="37"/>
      <c r="B10" s="318" t="str">
        <f>CHOOSE(LanguagePage!$C$265,LanguagePage!$C282,LanguagePage!$D282)</f>
        <v>Операционная прибыль</v>
      </c>
      <c r="C10" s="306">
        <v>125531</v>
      </c>
      <c r="D10" s="306">
        <v>166509</v>
      </c>
      <c r="E10" s="306">
        <v>183513</v>
      </c>
      <c r="F10" s="306">
        <v>283554</v>
      </c>
      <c r="G10" s="306">
        <v>312352</v>
      </c>
      <c r="H10" s="306">
        <v>205001</v>
      </c>
      <c r="I10" s="306">
        <f>FY_IFRS_PL!I36</f>
        <v>343535</v>
      </c>
      <c r="J10" s="316"/>
      <c r="K10" s="306">
        <v>245113</v>
      </c>
      <c r="L10" s="306">
        <f>FY_IFRS_PL!L36</f>
        <v>396781</v>
      </c>
      <c r="M10" s="313"/>
      <c r="N10" s="306">
        <f t="shared" ref="N10:T10" si="2">C10/N$5</f>
        <v>105933.33333333333</v>
      </c>
      <c r="O10" s="306">
        <f t="shared" si="2"/>
        <v>104956.18552477147</v>
      </c>
      <c r="P10" s="306">
        <f t="shared" si="2"/>
        <v>92287.151118933878</v>
      </c>
      <c r="Q10" s="306">
        <f t="shared" si="2"/>
        <v>146782.27559788799</v>
      </c>
      <c r="R10" s="306">
        <f t="shared" si="2"/>
        <v>153369.34105862712</v>
      </c>
      <c r="S10" s="306">
        <f t="shared" si="2"/>
        <v>98020.942909056132</v>
      </c>
      <c r="T10" s="306">
        <f t="shared" si="2"/>
        <v>141087.92968910429</v>
      </c>
      <c r="U10" s="386"/>
      <c r="V10" s="306">
        <f>K10/V$5</f>
        <v>117200.43989671989</v>
      </c>
      <c r="W10" s="306">
        <f>L10/W$5</f>
        <v>162955.76820403303</v>
      </c>
    </row>
    <row r="11" spans="1:23" x14ac:dyDescent="0.3">
      <c r="A11" s="37"/>
      <c r="B11" s="418"/>
      <c r="C11" s="308"/>
      <c r="D11" s="308"/>
      <c r="E11" s="308"/>
      <c r="F11" s="308"/>
      <c r="G11" s="308"/>
      <c r="H11" s="308"/>
      <c r="I11" s="308"/>
      <c r="J11" s="316"/>
      <c r="K11" s="308"/>
      <c r="L11" s="308"/>
      <c r="M11" s="313"/>
      <c r="N11" s="308"/>
      <c r="O11" s="308"/>
      <c r="P11" s="308"/>
      <c r="Q11" s="304"/>
      <c r="R11" s="304"/>
      <c r="S11" s="304"/>
      <c r="T11" s="304"/>
      <c r="U11" s="386"/>
      <c r="V11" s="304"/>
      <c r="W11" s="304"/>
    </row>
    <row r="12" spans="1:23" x14ac:dyDescent="0.3">
      <c r="A12" s="37"/>
      <c r="B12" s="318" t="str">
        <f>CHOOSE(LanguagePage!$C$265,LanguagePage!$C284,LanguagePage!$D284)</f>
        <v>Амортизация (СF)</v>
      </c>
      <c r="C12" s="306">
        <v>-33987</v>
      </c>
      <c r="D12" s="306">
        <v>-54968</v>
      </c>
      <c r="E12" s="306">
        <v>-73910</v>
      </c>
      <c r="F12" s="306">
        <v>-88130</v>
      </c>
      <c r="G12" s="306">
        <v>-83779</v>
      </c>
      <c r="H12" s="306">
        <v>-100766</v>
      </c>
      <c r="I12" s="306">
        <f>-(FY_IFRS_CF!I13+FY_IFRS_CF!I14)</f>
        <v>-93375</v>
      </c>
      <c r="J12" s="316"/>
      <c r="K12" s="306">
        <v>-189434</v>
      </c>
      <c r="L12" s="306">
        <f>-(FY_IFRS_CF!L13+FY_IFRS_CF!L14+FY_IFRS_CF!L15)</f>
        <v>-179385</v>
      </c>
      <c r="M12" s="313"/>
      <c r="N12" s="306">
        <f t="shared" ref="N12:T12" si="3">C12/N$5</f>
        <v>-28681.012658227846</v>
      </c>
      <c r="O12" s="306">
        <f t="shared" si="3"/>
        <v>-34648.166801347907</v>
      </c>
      <c r="P12" s="306">
        <f t="shared" si="3"/>
        <v>-37168.720140809659</v>
      </c>
      <c r="Q12" s="306">
        <f t="shared" si="3"/>
        <v>-45620.664665079203</v>
      </c>
      <c r="R12" s="306">
        <f t="shared" si="3"/>
        <v>-41136.69841893352</v>
      </c>
      <c r="S12" s="306">
        <f t="shared" si="3"/>
        <v>-48181.122692932957</v>
      </c>
      <c r="T12" s="306">
        <f t="shared" si="3"/>
        <v>-38348.597478335869</v>
      </c>
      <c r="U12" s="386"/>
      <c r="V12" s="306">
        <f>K12/V$5</f>
        <v>-90577.603519173746</v>
      </c>
      <c r="W12" s="306">
        <f>L12/W$5</f>
        <v>-73672.430079264042</v>
      </c>
    </row>
    <row r="13" spans="1:23" x14ac:dyDescent="0.3">
      <c r="A13" s="37"/>
      <c r="B13" s="348"/>
      <c r="C13" s="327"/>
      <c r="D13" s="327"/>
      <c r="E13" s="327"/>
      <c r="F13" s="327"/>
      <c r="G13" s="327"/>
      <c r="H13" s="327"/>
      <c r="I13" s="327"/>
      <c r="J13" s="328"/>
      <c r="K13" s="327"/>
      <c r="L13" s="327"/>
      <c r="M13" s="378"/>
      <c r="N13" s="327"/>
      <c r="O13" s="327"/>
      <c r="P13" s="327"/>
      <c r="Q13" s="304"/>
      <c r="R13" s="304"/>
      <c r="S13" s="304"/>
      <c r="T13" s="304"/>
      <c r="U13" s="386"/>
      <c r="V13" s="304"/>
      <c r="W13" s="304"/>
    </row>
    <row r="14" spans="1:23" x14ac:dyDescent="0.3">
      <c r="A14" s="37"/>
      <c r="B14" s="299" t="str">
        <f>CHOOSE(LanguagePage!$C$265,LanguagePage!$C285,LanguagePage!$D285)</f>
        <v>EBITDA</v>
      </c>
      <c r="C14" s="300">
        <f t="shared" ref="C14:I14" si="4">C10-C12</f>
        <v>159518</v>
      </c>
      <c r="D14" s="300">
        <f t="shared" si="4"/>
        <v>221477</v>
      </c>
      <c r="E14" s="300">
        <f t="shared" si="4"/>
        <v>257423</v>
      </c>
      <c r="F14" s="300">
        <f t="shared" si="4"/>
        <v>371684</v>
      </c>
      <c r="G14" s="300">
        <f t="shared" si="4"/>
        <v>396131</v>
      </c>
      <c r="H14" s="300">
        <f t="shared" si="4"/>
        <v>305767</v>
      </c>
      <c r="I14" s="300">
        <f t="shared" si="4"/>
        <v>436910</v>
      </c>
      <c r="J14" s="336"/>
      <c r="K14" s="300">
        <f>K10-K12</f>
        <v>434547</v>
      </c>
      <c r="L14" s="300">
        <f>L10-L12</f>
        <v>576166</v>
      </c>
      <c r="M14" s="378"/>
      <c r="N14" s="300">
        <f t="shared" ref="N14:S14" si="5">N10-N12</f>
        <v>134614.34599156119</v>
      </c>
      <c r="O14" s="300">
        <f t="shared" si="5"/>
        <v>139604.35232611938</v>
      </c>
      <c r="P14" s="300">
        <f t="shared" si="5"/>
        <v>129455.87125974354</v>
      </c>
      <c r="Q14" s="300">
        <f t="shared" si="5"/>
        <v>192402.9402629672</v>
      </c>
      <c r="R14" s="300">
        <f t="shared" si="5"/>
        <v>194506.03947756064</v>
      </c>
      <c r="S14" s="300">
        <f t="shared" si="5"/>
        <v>146202.0656019891</v>
      </c>
      <c r="T14" s="300">
        <f t="shared" ref="T14" si="6">T10-T12</f>
        <v>179436.52716744016</v>
      </c>
      <c r="U14" s="386"/>
      <c r="V14" s="300">
        <f>V10-V12</f>
        <v>207778.04341589363</v>
      </c>
      <c r="W14" s="300">
        <f>W10-W12</f>
        <v>236628.19828329707</v>
      </c>
    </row>
    <row r="15" spans="1:23" x14ac:dyDescent="0.3">
      <c r="A15" s="37"/>
      <c r="B15" s="419" t="str">
        <f>CHOOSE(LanguagePage!$C$265,LanguagePage!$C286,LanguagePage!$D286)</f>
        <v>EBITDA маржа, %</v>
      </c>
      <c r="C15" s="412">
        <f t="shared" ref="C15:I15" si="7">C14/C$8</f>
        <v>6.6246942394504821E-2</v>
      </c>
      <c r="D15" s="412">
        <f t="shared" si="7"/>
        <v>7.4157695388151215E-2</v>
      </c>
      <c r="E15" s="412">
        <f t="shared" si="7"/>
        <v>7.0744704239905906E-2</v>
      </c>
      <c r="F15" s="412">
        <f t="shared" si="7"/>
        <v>9.4508722917838961E-2</v>
      </c>
      <c r="G15" s="412">
        <f t="shared" si="7"/>
        <v>8.885162043386971E-2</v>
      </c>
      <c r="H15" s="412">
        <f t="shared" si="7"/>
        <v>6.2178474327767574E-2</v>
      </c>
      <c r="I15" s="412">
        <f t="shared" si="7"/>
        <v>8.2634874371954339E-2</v>
      </c>
      <c r="J15" s="413"/>
      <c r="K15" s="412">
        <f>K14/K$8</f>
        <v>8.8366205259914954E-2</v>
      </c>
      <c r="L15" s="412">
        <f>L14/L$8</f>
        <v>0.10897302654411994</v>
      </c>
      <c r="M15" s="313"/>
      <c r="N15" s="412">
        <f t="shared" ref="N15:S15" si="8">N14/N$8</f>
        <v>6.6246942394504835E-2</v>
      </c>
      <c r="O15" s="412">
        <f t="shared" si="8"/>
        <v>7.4157695388151215E-2</v>
      </c>
      <c r="P15" s="412">
        <f t="shared" si="8"/>
        <v>7.0744704239905906E-2</v>
      </c>
      <c r="Q15" s="412">
        <f t="shared" si="8"/>
        <v>9.4508722917838975E-2</v>
      </c>
      <c r="R15" s="412">
        <f t="shared" si="8"/>
        <v>8.885162043386971E-2</v>
      </c>
      <c r="S15" s="412">
        <f t="shared" si="8"/>
        <v>6.2178474327767574E-2</v>
      </c>
      <c r="T15" s="412">
        <f t="shared" ref="T15" si="9">T14/T$8</f>
        <v>8.2634874371954339E-2</v>
      </c>
      <c r="U15" s="386"/>
      <c r="V15" s="412">
        <f>V14/V$8</f>
        <v>8.836620525991494E-2</v>
      </c>
      <c r="W15" s="412">
        <f>W14/W$8</f>
        <v>0.10897302654411993</v>
      </c>
    </row>
    <row r="16" spans="1:23" x14ac:dyDescent="0.3">
      <c r="A16" s="37"/>
      <c r="B16" s="417"/>
      <c r="C16" s="412"/>
      <c r="D16" s="412"/>
      <c r="E16" s="412"/>
      <c r="F16" s="412"/>
      <c r="G16" s="412"/>
      <c r="H16" s="412"/>
      <c r="I16" s="412"/>
      <c r="J16" s="413"/>
      <c r="K16" s="412"/>
      <c r="L16" s="412"/>
      <c r="M16" s="313"/>
      <c r="N16" s="412"/>
      <c r="O16" s="412"/>
      <c r="P16" s="412"/>
      <c r="Q16" s="412"/>
      <c r="R16" s="412"/>
      <c r="S16" s="412"/>
      <c r="T16" s="412"/>
      <c r="U16" s="386"/>
      <c r="V16" s="412"/>
      <c r="W16" s="412"/>
    </row>
    <row r="17" spans="1:27" x14ac:dyDescent="0.3">
      <c r="A17" s="37"/>
      <c r="B17" s="318" t="str">
        <f>CHOOSE(LanguagePage!$C$265,LanguagePage!$C292,LanguagePage!$D292)</f>
        <v>Арендная плата (P&amp;L)</v>
      </c>
      <c r="C17" s="306">
        <v>-36434</v>
      </c>
      <c r="D17" s="306">
        <v>-62368</v>
      </c>
      <c r="E17" s="306">
        <v>-86375</v>
      </c>
      <c r="F17" s="306">
        <v>-90134</v>
      </c>
      <c r="G17" s="306">
        <v>-116425</v>
      </c>
      <c r="H17" s="306">
        <v>-134382</v>
      </c>
      <c r="I17" s="306">
        <f>FY_IFRS_PL!I18</f>
        <v>-142451</v>
      </c>
      <c r="J17" s="316"/>
      <c r="K17" s="306">
        <v>-5602</v>
      </c>
      <c r="L17" s="306">
        <f>FY_IFRS_PL!L18</f>
        <v>-3195</v>
      </c>
      <c r="M17" s="313"/>
      <c r="N17" s="306">
        <f t="shared" ref="N17:T17" si="10">C17/N$5</f>
        <v>-30745.991561181432</v>
      </c>
      <c r="O17" s="306">
        <f t="shared" si="10"/>
        <v>-39312.634024640989</v>
      </c>
      <c r="P17" s="306">
        <f t="shared" si="10"/>
        <v>-43437.264269549916</v>
      </c>
      <c r="Q17" s="306">
        <f t="shared" si="10"/>
        <v>-46658.039134485975</v>
      </c>
      <c r="R17" s="306">
        <f t="shared" si="10"/>
        <v>-57166.355690857315</v>
      </c>
      <c r="S17" s="306">
        <f t="shared" si="10"/>
        <v>-64254.566319212005</v>
      </c>
      <c r="T17" s="306">
        <f t="shared" si="10"/>
        <v>-58503.83999342889</v>
      </c>
      <c r="U17" s="386"/>
      <c r="V17" s="306">
        <f>K17/V$5</f>
        <v>-2678.5885053074494</v>
      </c>
      <c r="W17" s="306">
        <f>L17/W$5</f>
        <v>-1312.1688775719742</v>
      </c>
    </row>
    <row r="18" spans="1:27" x14ac:dyDescent="0.3">
      <c r="A18" s="37"/>
      <c r="B18" s="310"/>
      <c r="C18" s="414"/>
      <c r="D18" s="414"/>
      <c r="E18" s="414"/>
      <c r="F18" s="414"/>
      <c r="G18" s="414"/>
      <c r="H18" s="414"/>
      <c r="I18" s="414"/>
      <c r="J18" s="415"/>
      <c r="K18" s="414"/>
      <c r="L18" s="414"/>
      <c r="M18" s="378"/>
      <c r="N18" s="414"/>
      <c r="O18" s="414"/>
      <c r="P18" s="414"/>
      <c r="Q18" s="304"/>
      <c r="R18" s="304"/>
      <c r="S18" s="304"/>
      <c r="T18" s="304"/>
      <c r="U18" s="386"/>
      <c r="V18" s="304"/>
      <c r="W18" s="304"/>
    </row>
    <row r="19" spans="1:27" x14ac:dyDescent="0.3">
      <c r="A19" s="37"/>
      <c r="B19" s="299" t="str">
        <f>CHOOSE(LanguagePage!$C$265,LanguagePage!$C293,LanguagePage!$D293)</f>
        <v>EBITDAR</v>
      </c>
      <c r="C19" s="300">
        <f t="shared" ref="C19:I19" si="11">C14-C17</f>
        <v>195952</v>
      </c>
      <c r="D19" s="300">
        <f t="shared" si="11"/>
        <v>283845</v>
      </c>
      <c r="E19" s="300">
        <f t="shared" si="11"/>
        <v>343798</v>
      </c>
      <c r="F19" s="300">
        <f t="shared" si="11"/>
        <v>461818</v>
      </c>
      <c r="G19" s="300">
        <f t="shared" si="11"/>
        <v>512556</v>
      </c>
      <c r="H19" s="300">
        <f t="shared" si="11"/>
        <v>440149</v>
      </c>
      <c r="I19" s="300">
        <f t="shared" si="11"/>
        <v>579361</v>
      </c>
      <c r="J19" s="336"/>
      <c r="K19" s="300">
        <f>K14-K17</f>
        <v>440149</v>
      </c>
      <c r="L19" s="300">
        <f>L14-L17</f>
        <v>579361</v>
      </c>
      <c r="M19" s="378"/>
      <c r="N19" s="300">
        <f t="shared" ref="N19:T19" si="12">N14-N17</f>
        <v>165360.33755274263</v>
      </c>
      <c r="O19" s="300">
        <f t="shared" si="12"/>
        <v>178916.98635076036</v>
      </c>
      <c r="P19" s="300">
        <f t="shared" si="12"/>
        <v>172893.13552929345</v>
      </c>
      <c r="Q19" s="300">
        <f t="shared" si="12"/>
        <v>239060.97939745316</v>
      </c>
      <c r="R19" s="300">
        <f t="shared" si="12"/>
        <v>251672.39516841795</v>
      </c>
      <c r="S19" s="300">
        <f t="shared" si="12"/>
        <v>210456.6319212011</v>
      </c>
      <c r="T19" s="300">
        <f t="shared" si="12"/>
        <v>237940.36716086906</v>
      </c>
      <c r="U19" s="386"/>
      <c r="V19" s="300">
        <f>V14-V17</f>
        <v>210456.63192120107</v>
      </c>
      <c r="W19" s="300">
        <f>W14-W17</f>
        <v>237940.36716086903</v>
      </c>
    </row>
    <row r="20" spans="1:27" x14ac:dyDescent="0.3">
      <c r="A20" s="37"/>
      <c r="B20" s="419" t="str">
        <f>CHOOSE(LanguagePage!$C$265,LanguagePage!$C294,LanguagePage!$D294)</f>
        <v>EBITDAR маржа, %</v>
      </c>
      <c r="C20" s="412">
        <f t="shared" ref="C20:I20" si="13">C19/C$8</f>
        <v>8.1377780915558182E-2</v>
      </c>
      <c r="D20" s="412">
        <f t="shared" si="13"/>
        <v>9.5040528124589824E-2</v>
      </c>
      <c r="E20" s="412">
        <f t="shared" si="13"/>
        <v>9.4482186239268323E-2</v>
      </c>
      <c r="F20" s="412">
        <f t="shared" si="13"/>
        <v>0.11742724841658655</v>
      </c>
      <c r="G20" s="412">
        <f t="shared" si="13"/>
        <v>0.11496558250453139</v>
      </c>
      <c r="H20" s="412">
        <f t="shared" si="13"/>
        <v>8.9505385790136185E-2</v>
      </c>
      <c r="I20" s="412">
        <f t="shared" si="13"/>
        <v>0.10957731214897767</v>
      </c>
      <c r="J20" s="413"/>
      <c r="K20" s="412">
        <f>K19/K$8</f>
        <v>8.9505385790136185E-2</v>
      </c>
      <c r="L20" s="412">
        <f>L19/L$8</f>
        <v>0.10957731214897767</v>
      </c>
      <c r="M20" s="313"/>
      <c r="N20" s="412">
        <f t="shared" ref="N20:S20" si="14">N19/N$8</f>
        <v>8.1377780915558182E-2</v>
      </c>
      <c r="O20" s="412">
        <f t="shared" si="14"/>
        <v>9.5040528124589824E-2</v>
      </c>
      <c r="P20" s="412">
        <f t="shared" si="14"/>
        <v>9.4482186239268323E-2</v>
      </c>
      <c r="Q20" s="412">
        <f t="shared" si="14"/>
        <v>0.11742724841658655</v>
      </c>
      <c r="R20" s="412">
        <f t="shared" si="14"/>
        <v>0.11496558250453139</v>
      </c>
      <c r="S20" s="412">
        <f t="shared" si="14"/>
        <v>8.9505385790136185E-2</v>
      </c>
      <c r="T20" s="412">
        <f t="shared" ref="T20" si="15">T19/T$8</f>
        <v>0.10957731214897769</v>
      </c>
      <c r="U20" s="386"/>
      <c r="V20" s="412">
        <f>V19/V$8</f>
        <v>8.9505385790136172E-2</v>
      </c>
      <c r="W20" s="412">
        <f>W19/W$8</f>
        <v>0.10957731214897767</v>
      </c>
      <c r="X20" s="2"/>
      <c r="Y20" s="7"/>
      <c r="Z20" s="2"/>
      <c r="AA20" s="2"/>
    </row>
    <row r="21" spans="1:27" x14ac:dyDescent="0.3">
      <c r="B21" s="109"/>
      <c r="C21" s="110"/>
      <c r="D21" s="110"/>
      <c r="E21" s="110"/>
      <c r="F21" s="110"/>
      <c r="G21" s="110"/>
      <c r="H21" s="110"/>
      <c r="I21" s="110"/>
      <c r="J21" s="290"/>
      <c r="K21" s="110"/>
      <c r="L21" s="110"/>
    </row>
    <row r="22" spans="1:27" x14ac:dyDescent="0.3">
      <c r="B22" s="109"/>
      <c r="C22" s="110"/>
      <c r="D22" s="110"/>
      <c r="E22" s="110"/>
      <c r="F22" s="110"/>
      <c r="G22" s="110"/>
      <c r="H22" s="110"/>
      <c r="I22" s="110"/>
      <c r="J22" s="290"/>
      <c r="K22" s="110"/>
      <c r="L22" s="110"/>
    </row>
    <row r="23" spans="1:27" x14ac:dyDescent="0.3">
      <c r="B23" s="250"/>
      <c r="C23" s="110"/>
      <c r="D23" s="110"/>
      <c r="E23" s="110"/>
      <c r="F23" s="110"/>
      <c r="G23" s="110"/>
      <c r="H23" s="110"/>
      <c r="I23" s="110"/>
      <c r="J23" s="290"/>
      <c r="K23" s="110"/>
      <c r="L23" s="110"/>
    </row>
    <row r="24" spans="1:27" x14ac:dyDescent="0.3">
      <c r="B24" s="109"/>
      <c r="C24" s="110"/>
      <c r="D24" s="110"/>
      <c r="E24" s="110"/>
      <c r="F24" s="110"/>
      <c r="G24" s="110"/>
      <c r="H24" s="110"/>
      <c r="I24" s="110"/>
      <c r="J24" s="290"/>
      <c r="K24" s="110"/>
      <c r="L24" s="110"/>
    </row>
    <row r="25" spans="1:27" x14ac:dyDescent="0.3">
      <c r="B25" s="109"/>
      <c r="C25" s="110"/>
      <c r="D25" s="110"/>
      <c r="E25" s="110"/>
      <c r="F25" s="110"/>
      <c r="G25" s="110"/>
      <c r="H25" s="110"/>
      <c r="I25" s="110"/>
      <c r="J25" s="290"/>
      <c r="K25" s="110"/>
      <c r="L25" s="110"/>
    </row>
  </sheetData>
  <mergeCells count="5">
    <mergeCell ref="B2:N2"/>
    <mergeCell ref="C4:L4"/>
    <mergeCell ref="K5:L5"/>
    <mergeCell ref="C5:I5"/>
    <mergeCell ref="N4:W4"/>
  </mergeCells>
  <hyperlinks>
    <hyperlink ref="B4" location="Contents!A1" display="Contents!A1" xr:uid="{00000000-0004-0000-0900-000000000000}"/>
    <hyperlink ref="W2" location="Contents!A1" display="Contents!A1" xr:uid="{00000000-0004-0000-0900-000001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W25"/>
  <sheetViews>
    <sheetView showGridLines="0" zoomScale="90" zoomScaleNormal="90" workbookViewId="0">
      <pane ySplit="6" topLeftCell="A7" activePane="bottomLeft" state="frozen"/>
      <selection activeCell="F29" sqref="F29"/>
      <selection pane="bottomLeft"/>
    </sheetView>
  </sheetViews>
  <sheetFormatPr defaultColWidth="9.109375" defaultRowHeight="13.8" x14ac:dyDescent="0.3"/>
  <cols>
    <col min="1" max="1" width="6" style="36" customWidth="1"/>
    <col min="2" max="2" width="43.6640625" style="2" customWidth="1"/>
    <col min="3" max="7" width="11" style="7" customWidth="1"/>
    <col min="8" max="8" width="3.88671875" style="7" customWidth="1"/>
    <col min="9" max="10" width="11" style="7" customWidth="1"/>
    <col min="11" max="11" width="9.109375" style="1"/>
    <col min="12" max="15" width="10.88671875" style="1" customWidth="1"/>
    <col min="16" max="16" width="12.88671875" style="1" customWidth="1"/>
    <col min="17" max="17" width="3.77734375" style="1" customWidth="1"/>
    <col min="18" max="19" width="10.88671875" style="1" customWidth="1"/>
    <col min="20" max="20" width="6.6640625" style="1" customWidth="1"/>
    <col min="21" max="16384" width="9.109375" style="1"/>
  </cols>
  <sheetData>
    <row r="1" spans="1:19" ht="14.1" customHeight="1" x14ac:dyDescent="0.3">
      <c r="B1" s="123"/>
      <c r="C1" s="123"/>
      <c r="D1" s="123"/>
      <c r="E1" s="123"/>
      <c r="F1" s="123"/>
      <c r="G1" s="123"/>
      <c r="H1" s="123"/>
      <c r="I1" s="123"/>
      <c r="J1" s="123"/>
      <c r="L1" s="27"/>
    </row>
    <row r="2" spans="1:19" ht="14.1" customHeight="1" x14ac:dyDescent="0.3">
      <c r="B2" s="465" t="s">
        <v>222</v>
      </c>
      <c r="C2" s="465"/>
      <c r="D2" s="465"/>
      <c r="E2" s="465"/>
      <c r="F2" s="465"/>
      <c r="G2" s="465"/>
      <c r="H2" s="465"/>
      <c r="I2" s="465"/>
      <c r="J2" s="292"/>
      <c r="L2" s="27"/>
      <c r="S2" s="211" t="str">
        <f>Contents!$B$2</f>
        <v>СОДЕРЖАНИЕ</v>
      </c>
    </row>
    <row r="3" spans="1:19" ht="14.1" customHeight="1" x14ac:dyDescent="0.3">
      <c r="C3" s="1"/>
      <c r="D3" s="1"/>
      <c r="E3" s="1"/>
      <c r="F3" s="1"/>
      <c r="G3" s="1"/>
      <c r="H3" s="1"/>
      <c r="I3" s="1"/>
      <c r="J3" s="1"/>
    </row>
    <row r="4" spans="1:19" ht="14.1" customHeight="1" x14ac:dyDescent="0.3">
      <c r="B4" s="210" t="str">
        <f>Contents!$B$4</f>
        <v>Выбор языка: РУССКИЙ</v>
      </c>
      <c r="C4" s="474" t="str">
        <f>CHOOSE(LanguagePage!$C$272,LanguagePage!$D$273,LanguagePage!$D$274)</f>
        <v>тыс. BYN</v>
      </c>
      <c r="D4" s="475"/>
      <c r="E4" s="475"/>
      <c r="F4" s="475"/>
      <c r="G4" s="475"/>
      <c r="H4" s="475"/>
      <c r="I4" s="475"/>
      <c r="J4" s="476"/>
      <c r="L4" s="474" t="str">
        <f>CHOOSE(LanguagePage!$C$272,LanguagePage!E273,LanguagePage!E274)</f>
        <v>тыс. USD</v>
      </c>
      <c r="M4" s="475"/>
      <c r="N4" s="475"/>
      <c r="O4" s="475"/>
      <c r="P4" s="475"/>
      <c r="Q4" s="475"/>
      <c r="R4" s="475"/>
      <c r="S4" s="476"/>
    </row>
    <row r="5" spans="1:19" ht="14.1" customHeight="1" x14ac:dyDescent="0.3">
      <c r="C5" s="479" t="s">
        <v>721</v>
      </c>
      <c r="D5" s="479"/>
      <c r="E5" s="479"/>
      <c r="F5" s="479"/>
      <c r="G5" s="479"/>
      <c r="H5" s="1"/>
      <c r="I5" s="478" t="s">
        <v>722</v>
      </c>
      <c r="J5" s="478"/>
      <c r="L5" s="26">
        <v>2.0246</v>
      </c>
      <c r="M5" s="26">
        <v>1.8968</v>
      </c>
      <c r="N5" s="26">
        <v>1.9886999999999999</v>
      </c>
      <c r="O5" s="26">
        <v>2.1187</v>
      </c>
      <c r="P5" s="26">
        <v>2.3342999999999998</v>
      </c>
      <c r="R5" s="26">
        <v>2.1187</v>
      </c>
      <c r="S5" s="26">
        <v>2.3342999999999998</v>
      </c>
    </row>
    <row r="6" spans="1:19" ht="14.1" customHeight="1" x14ac:dyDescent="0.3">
      <c r="B6" s="8"/>
      <c r="C6" s="14" t="str">
        <f>CHOOSE(LanguagePage!$C$272,LanguagePage!D$276,LanguagePage!D$277)</f>
        <v>1П 2016</v>
      </c>
      <c r="D6" s="14" t="str">
        <f>CHOOSE(LanguagePage!$C$272,LanguagePage!E$276,LanguagePage!E$277)</f>
        <v>1П 2017</v>
      </c>
      <c r="E6" s="14" t="str">
        <f>CHOOSE(LanguagePage!$C$272,LanguagePage!F$276,LanguagePage!F$277)</f>
        <v>1П 2018</v>
      </c>
      <c r="F6" s="14" t="str">
        <f>CHOOSE(LanguagePage!$C$272,LanguagePage!G$276,LanguagePage!G$277)</f>
        <v>1П 2019</v>
      </c>
      <c r="G6" s="14" t="str">
        <f>CHOOSE(LanguagePage!$C$272,LanguagePage!H$276,LanguagePage!H$277)</f>
        <v>1П 2020</v>
      </c>
      <c r="H6" s="1"/>
      <c r="I6" s="255" t="str">
        <f>CHOOSE(LanguagePage!$C$272,LanguagePage!I$276,LanguagePage!I$277)</f>
        <v>1П 2019</v>
      </c>
      <c r="J6" s="255" t="str">
        <f>CHOOSE(LanguagePage!$C$272,LanguagePage!J$276,LanguagePage!J$277)</f>
        <v>1П 2020</v>
      </c>
      <c r="L6" s="14" t="str">
        <f>$C$6</f>
        <v>1П 2016</v>
      </c>
      <c r="M6" s="14" t="str">
        <f>$D$6</f>
        <v>1П 2017</v>
      </c>
      <c r="N6" s="14" t="str">
        <f>$E$6</f>
        <v>1П 2018</v>
      </c>
      <c r="O6" s="14" t="str">
        <f>$F$6</f>
        <v>1П 2019</v>
      </c>
      <c r="P6" s="14" t="str">
        <f>$G$6</f>
        <v>1П 2020</v>
      </c>
      <c r="R6" s="254" t="str">
        <f>$I$6</f>
        <v>1П 2019</v>
      </c>
      <c r="S6" s="254" t="str">
        <f>$J$6</f>
        <v>1П 2020</v>
      </c>
    </row>
    <row r="7" spans="1:19" s="36" customFormat="1" x14ac:dyDescent="0.3">
      <c r="B7" s="62"/>
      <c r="C7" s="63"/>
      <c r="D7" s="63"/>
      <c r="E7" s="63"/>
      <c r="F7" s="63"/>
      <c r="G7" s="63"/>
      <c r="H7" s="1"/>
      <c r="I7" s="63"/>
      <c r="J7" s="63"/>
      <c r="L7" s="63"/>
      <c r="M7" s="63"/>
    </row>
    <row r="8" spans="1:19" x14ac:dyDescent="0.3">
      <c r="A8" s="37"/>
      <c r="B8" s="346" t="str">
        <f>CHOOSE(LanguagePage!$C$272,LanguagePage!$C280,LanguagePage!$D280)</f>
        <v>Выручка, процентные и комиссионные доходы</v>
      </c>
      <c r="C8" s="323">
        <v>1758910</v>
      </c>
      <c r="D8" s="323">
        <v>1897646</v>
      </c>
      <c r="E8" s="323">
        <v>2179736</v>
      </c>
      <c r="F8" s="324">
        <v>2403404</v>
      </c>
      <c r="G8" s="324">
        <v>2583541</v>
      </c>
      <c r="H8" s="386"/>
      <c r="I8" s="324">
        <v>2403404</v>
      </c>
      <c r="J8" s="323">
        <v>2583541</v>
      </c>
      <c r="K8" s="378"/>
      <c r="L8" s="323">
        <f>C8/L$5</f>
        <v>868769.13958312757</v>
      </c>
      <c r="M8" s="323">
        <f>D8/M$5</f>
        <v>1000446.014339941</v>
      </c>
      <c r="N8" s="323">
        <f>E8/N$5</f>
        <v>1096060.7431990749</v>
      </c>
      <c r="O8" s="323">
        <f>F8/O$5</f>
        <v>1134376.7404540521</v>
      </c>
      <c r="P8" s="323">
        <f>G8/P$5</f>
        <v>1106773.3367604851</v>
      </c>
      <c r="Q8" s="304"/>
      <c r="R8" s="323">
        <f>I8/R$5</f>
        <v>1134376.7404540521</v>
      </c>
      <c r="S8" s="323">
        <f>J8/S$5</f>
        <v>1106773.3367604851</v>
      </c>
    </row>
    <row r="9" spans="1:19" ht="12.6" customHeight="1" x14ac:dyDescent="0.3">
      <c r="A9" s="37"/>
      <c r="B9" s="347"/>
      <c r="C9" s="325"/>
      <c r="D9" s="325"/>
      <c r="E9" s="325"/>
      <c r="F9" s="326"/>
      <c r="G9" s="326"/>
      <c r="H9" s="386"/>
      <c r="I9" s="326"/>
      <c r="J9" s="325"/>
      <c r="K9" s="378"/>
      <c r="L9" s="325"/>
      <c r="M9" s="325"/>
      <c r="N9" s="304"/>
      <c r="O9" s="304"/>
      <c r="P9" s="304"/>
      <c r="Q9" s="304"/>
      <c r="R9" s="304"/>
      <c r="S9" s="304"/>
    </row>
    <row r="10" spans="1:19" x14ac:dyDescent="0.3">
      <c r="A10" s="37"/>
      <c r="B10" s="318" t="str">
        <f>CHOOSE(LanguagePage!$C$272,LanguagePage!$C282,LanguagePage!$D282)</f>
        <v>Операционная прибыль</v>
      </c>
      <c r="C10" s="306">
        <v>62103</v>
      </c>
      <c r="D10" s="306">
        <v>140838</v>
      </c>
      <c r="E10" s="306">
        <v>154997</v>
      </c>
      <c r="F10" s="307">
        <v>112411</v>
      </c>
      <c r="G10" s="307">
        <v>149149</v>
      </c>
      <c r="H10" s="316"/>
      <c r="I10" s="307">
        <v>134877</v>
      </c>
      <c r="J10" s="306">
        <v>173086</v>
      </c>
      <c r="K10" s="313"/>
      <c r="L10" s="306">
        <f>C10/L$5</f>
        <v>30674.207250814976</v>
      </c>
      <c r="M10" s="306">
        <f>D10/M$5</f>
        <v>74250.316322226907</v>
      </c>
      <c r="N10" s="306">
        <f>E10/N$5</f>
        <v>77938.85452808367</v>
      </c>
      <c r="O10" s="306">
        <f>F10/O$5</f>
        <v>53056.591305989525</v>
      </c>
      <c r="P10" s="306">
        <f>G10/P$5</f>
        <v>63894.529409244744</v>
      </c>
      <c r="Q10" s="304"/>
      <c r="R10" s="306">
        <f>I10/R$5</f>
        <v>63660.263369047054</v>
      </c>
      <c r="S10" s="306">
        <f>J10/S$5</f>
        <v>74148.995416184727</v>
      </c>
    </row>
    <row r="11" spans="1:19" x14ac:dyDescent="0.3">
      <c r="A11" s="37"/>
      <c r="B11" s="418"/>
      <c r="C11" s="308"/>
      <c r="D11" s="308"/>
      <c r="E11" s="308"/>
      <c r="F11" s="308"/>
      <c r="G11" s="308"/>
      <c r="H11" s="308"/>
      <c r="I11" s="308"/>
      <c r="J11" s="308"/>
      <c r="K11" s="313"/>
      <c r="L11" s="308"/>
      <c r="M11" s="308"/>
      <c r="N11" s="304"/>
      <c r="O11" s="304"/>
      <c r="P11" s="304"/>
      <c r="Q11" s="304"/>
      <c r="R11" s="304"/>
      <c r="S11" s="304"/>
    </row>
    <row r="12" spans="1:19" x14ac:dyDescent="0.3">
      <c r="A12" s="37"/>
      <c r="B12" s="318" t="str">
        <f>CHOOSE(LanguagePage!$C$272,LanguagePage!$C284,LanguagePage!$D284)</f>
        <v>Амортизация (СF)</v>
      </c>
      <c r="C12" s="306">
        <v>-34502</v>
      </c>
      <c r="D12" s="306">
        <v>-41508</v>
      </c>
      <c r="E12" s="306">
        <v>-40659</v>
      </c>
      <c r="F12" s="306">
        <v>-45216</v>
      </c>
      <c r="G12" s="306">
        <v>-46425</v>
      </c>
      <c r="H12" s="308"/>
      <c r="I12" s="306">
        <v>-88835</v>
      </c>
      <c r="J12" s="306">
        <v>-90819</v>
      </c>
      <c r="K12" s="313"/>
      <c r="L12" s="306">
        <f>C12/L$5</f>
        <v>-17041.390892028056</v>
      </c>
      <c r="M12" s="306">
        <f>D12/M$5</f>
        <v>-21883.17165752847</v>
      </c>
      <c r="N12" s="306">
        <f>E12/N$5</f>
        <v>-20445.014330969982</v>
      </c>
      <c r="O12" s="306">
        <f>F12/O$5</f>
        <v>-21341.388587341295</v>
      </c>
      <c r="P12" s="306">
        <f>G12/P$5</f>
        <v>-19888.189178768796</v>
      </c>
      <c r="Q12" s="304"/>
      <c r="R12" s="306">
        <f>I12/R$5</f>
        <v>-41929.013074054841</v>
      </c>
      <c r="S12" s="306">
        <f>J12/S$5</f>
        <v>-38906.310242899373</v>
      </c>
    </row>
    <row r="13" spans="1:19" x14ac:dyDescent="0.3">
      <c r="A13" s="37"/>
      <c r="B13" s="348"/>
      <c r="C13" s="327"/>
      <c r="D13" s="327"/>
      <c r="E13" s="327"/>
      <c r="F13" s="327"/>
      <c r="G13" s="327"/>
      <c r="H13" s="327"/>
      <c r="I13" s="327"/>
      <c r="J13" s="327"/>
      <c r="K13" s="378"/>
      <c r="L13" s="327"/>
      <c r="M13" s="327"/>
      <c r="N13" s="304"/>
      <c r="O13" s="304"/>
      <c r="P13" s="304"/>
      <c r="Q13" s="304"/>
      <c r="R13" s="304"/>
      <c r="S13" s="304"/>
    </row>
    <row r="14" spans="1:19" x14ac:dyDescent="0.3">
      <c r="A14" s="37"/>
      <c r="B14" s="299" t="str">
        <f>CHOOSE(LanguagePage!$C$272,LanguagePage!$C285,LanguagePage!$D285)</f>
        <v>EBITDA</v>
      </c>
      <c r="C14" s="300">
        <f>C10-C12</f>
        <v>96605</v>
      </c>
      <c r="D14" s="300">
        <f>D10-D12</f>
        <v>182346</v>
      </c>
      <c r="E14" s="300">
        <f>E10-E12</f>
        <v>195656</v>
      </c>
      <c r="F14" s="300">
        <f>F10-F12</f>
        <v>157627</v>
      </c>
      <c r="G14" s="300">
        <f>G10-G12</f>
        <v>195574</v>
      </c>
      <c r="H14" s="303"/>
      <c r="I14" s="300">
        <f>I10-I12</f>
        <v>223712</v>
      </c>
      <c r="J14" s="300">
        <f>J10-J12</f>
        <v>263905</v>
      </c>
      <c r="K14" s="378"/>
      <c r="L14" s="300">
        <f>L10-L12</f>
        <v>47715.598142843031</v>
      </c>
      <c r="M14" s="300">
        <f>M10-M12</f>
        <v>96133.487979755373</v>
      </c>
      <c r="N14" s="300">
        <f>N10-N12</f>
        <v>98383.868859053648</v>
      </c>
      <c r="O14" s="300">
        <f>O10-O12</f>
        <v>74397.979893330819</v>
      </c>
      <c r="P14" s="300">
        <f>P10-P12</f>
        <v>83782.718588013537</v>
      </c>
      <c r="Q14" s="304"/>
      <c r="R14" s="300">
        <f>R10-R12</f>
        <v>105589.2764431019</v>
      </c>
      <c r="S14" s="300">
        <f>S10-S12</f>
        <v>113055.3056590841</v>
      </c>
    </row>
    <row r="15" spans="1:19" x14ac:dyDescent="0.3">
      <c r="A15" s="37"/>
      <c r="B15" s="419" t="str">
        <f>CHOOSE(LanguagePage!$C$272,LanguagePage!$C286,LanguagePage!$D286)</f>
        <v>EBITDA маржа, %</v>
      </c>
      <c r="C15" s="412">
        <f>C14/C$8</f>
        <v>5.4923219493891104E-2</v>
      </c>
      <c r="D15" s="412">
        <f>D14/D$8</f>
        <v>9.6090630180760792E-2</v>
      </c>
      <c r="E15" s="412">
        <f>E14/E$8</f>
        <v>8.9761328894875342E-2</v>
      </c>
      <c r="F15" s="412">
        <f>F14/F$8</f>
        <v>6.5584895423324588E-2</v>
      </c>
      <c r="G15" s="412">
        <f>G14/G$8</f>
        <v>7.5699979214574109E-2</v>
      </c>
      <c r="H15" s="412"/>
      <c r="I15" s="412">
        <f>I14/I$8</f>
        <v>9.308131300438878E-2</v>
      </c>
      <c r="J15" s="412">
        <f>J14/J$8</f>
        <v>0.10214856276714789</v>
      </c>
      <c r="K15" s="313"/>
      <c r="L15" s="412">
        <f>L14/L$8</f>
        <v>5.4923219493891104E-2</v>
      </c>
      <c r="M15" s="412">
        <f>M14/M$8</f>
        <v>9.6090630180760792E-2</v>
      </c>
      <c r="N15" s="412">
        <f>N14/N$8</f>
        <v>8.9761328894875328E-2</v>
      </c>
      <c r="O15" s="412">
        <f>O14/O$8</f>
        <v>6.5584895423324588E-2</v>
      </c>
      <c r="P15" s="412">
        <f>P14/P$8</f>
        <v>7.5699979214574095E-2</v>
      </c>
      <c r="Q15" s="304"/>
      <c r="R15" s="412">
        <f>R14/R$8</f>
        <v>9.3081313004388766E-2</v>
      </c>
      <c r="S15" s="412">
        <f>S14/S$8</f>
        <v>0.10214856276714787</v>
      </c>
    </row>
    <row r="16" spans="1:19" x14ac:dyDescent="0.3">
      <c r="A16" s="37"/>
      <c r="B16" s="310"/>
      <c r="C16" s="311"/>
      <c r="D16" s="311"/>
      <c r="E16" s="311"/>
      <c r="F16" s="311"/>
      <c r="G16" s="311"/>
      <c r="H16" s="311"/>
      <c r="I16" s="311"/>
      <c r="J16" s="311"/>
      <c r="K16" s="313"/>
      <c r="L16" s="311"/>
      <c r="M16" s="311"/>
      <c r="N16" s="304"/>
      <c r="O16" s="304"/>
      <c r="P16" s="304"/>
      <c r="Q16" s="304"/>
      <c r="R16" s="304"/>
      <c r="S16" s="304"/>
    </row>
    <row r="17" spans="1:23" x14ac:dyDescent="0.3">
      <c r="A17" s="37"/>
      <c r="B17" s="318" t="str">
        <f>CHOOSE(LanguagePage!$C$272,LanguagePage!$C292,LanguagePage!$D292)</f>
        <v>Арендная плата (P&amp;L)</v>
      </c>
      <c r="C17" s="306">
        <v>-42647</v>
      </c>
      <c r="D17" s="306">
        <v>-41672</v>
      </c>
      <c r="E17" s="306">
        <v>-53445</v>
      </c>
      <c r="F17" s="306">
        <v>-68134</v>
      </c>
      <c r="G17" s="306">
        <v>-69660</v>
      </c>
      <c r="H17" s="308"/>
      <c r="I17" s="306">
        <v>-2049</v>
      </c>
      <c r="J17" s="306">
        <v>-1329</v>
      </c>
      <c r="K17" s="313"/>
      <c r="L17" s="306">
        <f>C17/L$5</f>
        <v>-21064.407784253679</v>
      </c>
      <c r="M17" s="306">
        <f>D17/M$5</f>
        <v>-21969.633066216786</v>
      </c>
      <c r="N17" s="306">
        <f>E17/N$5</f>
        <v>-26874.340021119326</v>
      </c>
      <c r="O17" s="306">
        <f>F17/O$5</f>
        <v>-32158.399018265918</v>
      </c>
      <c r="P17" s="306">
        <f>G17/P$5</f>
        <v>-29841.922632052439</v>
      </c>
      <c r="Q17" s="304"/>
      <c r="R17" s="306">
        <f>I17/R$5</f>
        <v>-967.10246849483167</v>
      </c>
      <c r="S17" s="306">
        <f>J17/S$5</f>
        <v>-569.33556098187898</v>
      </c>
    </row>
    <row r="18" spans="1:23" x14ac:dyDescent="0.3">
      <c r="A18" s="37"/>
      <c r="B18" s="310"/>
      <c r="C18" s="414"/>
      <c r="D18" s="414"/>
      <c r="E18" s="414"/>
      <c r="F18" s="414"/>
      <c r="G18" s="414"/>
      <c r="H18" s="414"/>
      <c r="I18" s="414"/>
      <c r="J18" s="414"/>
      <c r="K18" s="378"/>
      <c r="L18" s="414"/>
      <c r="M18" s="414"/>
      <c r="N18" s="304"/>
      <c r="O18" s="304"/>
      <c r="P18" s="304"/>
      <c r="Q18" s="304"/>
      <c r="R18" s="304"/>
      <c r="S18" s="304"/>
    </row>
    <row r="19" spans="1:23" x14ac:dyDescent="0.3">
      <c r="A19" s="37"/>
      <c r="B19" s="299" t="str">
        <f>CHOOSE(LanguagePage!$C$272,LanguagePage!$C293,LanguagePage!$D293)</f>
        <v>EBITDAR</v>
      </c>
      <c r="C19" s="300">
        <f>C14-C17</f>
        <v>139252</v>
      </c>
      <c r="D19" s="300">
        <f>D14-D17</f>
        <v>224018</v>
      </c>
      <c r="E19" s="301">
        <f>E14-E17</f>
        <v>249101</v>
      </c>
      <c r="F19" s="301">
        <f>F14-F17</f>
        <v>225761</v>
      </c>
      <c r="G19" s="301">
        <f>G14-G17</f>
        <v>265234</v>
      </c>
      <c r="H19" s="336"/>
      <c r="I19" s="301">
        <f>I14-I17</f>
        <v>225761</v>
      </c>
      <c r="J19" s="301">
        <f>J14-J17</f>
        <v>265234</v>
      </c>
      <c r="K19" s="420"/>
      <c r="L19" s="300">
        <f>L14-L17</f>
        <v>68780.005927096703</v>
      </c>
      <c r="M19" s="300">
        <f>M14-M17</f>
        <v>118103.12104597216</v>
      </c>
      <c r="N19" s="300">
        <f>N14-N17</f>
        <v>125258.20888017297</v>
      </c>
      <c r="O19" s="300">
        <f>O14-O17</f>
        <v>106556.37891159674</v>
      </c>
      <c r="P19" s="300">
        <f>P14-P17</f>
        <v>113624.64122006597</v>
      </c>
      <c r="Q19" s="304"/>
      <c r="R19" s="300">
        <f>R14-R17</f>
        <v>106556.37891159674</v>
      </c>
      <c r="S19" s="300">
        <f>S14-S17</f>
        <v>113624.64122006598</v>
      </c>
    </row>
    <row r="20" spans="1:23" x14ac:dyDescent="0.3">
      <c r="A20" s="37"/>
      <c r="B20" s="419" t="str">
        <f>CHOOSE(LanguagePage!$C$272,LanguagePage!$C294,LanguagePage!$D294)</f>
        <v>EBITDAR маржа, %</v>
      </c>
      <c r="C20" s="412">
        <f>C19/C$8</f>
        <v>7.9169485647361149E-2</v>
      </c>
      <c r="D20" s="412">
        <f>D19/D$8</f>
        <v>0.11805046884403098</v>
      </c>
      <c r="E20" s="413">
        <f>E19/E$8</f>
        <v>0.11428035321708684</v>
      </c>
      <c r="F20" s="413">
        <f>F19/F$8</f>
        <v>9.3933853817335752E-2</v>
      </c>
      <c r="G20" s="413">
        <f>G19/G$8</f>
        <v>0.10266297302810368</v>
      </c>
      <c r="H20" s="413"/>
      <c r="I20" s="413">
        <f>I19/I$8</f>
        <v>9.3933853817335752E-2</v>
      </c>
      <c r="J20" s="413">
        <f>J19/J$8</f>
        <v>0.10266297302810368</v>
      </c>
      <c r="K20" s="421"/>
      <c r="L20" s="412">
        <f>L19/L$8</f>
        <v>7.9169485647361135E-2</v>
      </c>
      <c r="M20" s="412">
        <f>M19/M$8</f>
        <v>0.11805046884403098</v>
      </c>
      <c r="N20" s="412">
        <f>N19/N$8</f>
        <v>0.11428035321708682</v>
      </c>
      <c r="O20" s="412">
        <f>O19/O$8</f>
        <v>9.3933853817335738E-2</v>
      </c>
      <c r="P20" s="412">
        <f>P19/P$8</f>
        <v>0.10266297302810366</v>
      </c>
      <c r="Q20" s="304"/>
      <c r="R20" s="412">
        <f>R19/R$8</f>
        <v>9.3933853817335738E-2</v>
      </c>
      <c r="S20" s="412">
        <f>S19/S$8</f>
        <v>0.10266297302810368</v>
      </c>
      <c r="T20" s="2"/>
      <c r="U20" s="7"/>
      <c r="V20" s="2"/>
      <c r="W20" s="2"/>
    </row>
    <row r="21" spans="1:23" x14ac:dyDescent="0.3">
      <c r="B21" s="109"/>
      <c r="C21" s="110"/>
      <c r="D21" s="110"/>
      <c r="E21" s="290"/>
      <c r="F21" s="290"/>
      <c r="G21" s="290"/>
      <c r="H21" s="290"/>
      <c r="I21" s="290"/>
      <c r="J21" s="290"/>
      <c r="K21" s="263"/>
    </row>
    <row r="22" spans="1:23" x14ac:dyDescent="0.3">
      <c r="B22" s="109"/>
      <c r="C22" s="110"/>
      <c r="D22" s="110"/>
      <c r="E22" s="110"/>
      <c r="F22" s="110"/>
      <c r="G22" s="110"/>
      <c r="H22" s="110"/>
      <c r="I22" s="110"/>
      <c r="J22" s="110"/>
    </row>
    <row r="23" spans="1:23" x14ac:dyDescent="0.3">
      <c r="B23" s="109"/>
      <c r="C23" s="110"/>
      <c r="D23" s="110"/>
      <c r="E23" s="110"/>
      <c r="F23" s="110"/>
      <c r="G23" s="110"/>
      <c r="H23" s="110"/>
      <c r="I23" s="110"/>
      <c r="J23" s="110"/>
    </row>
    <row r="24" spans="1:23" x14ac:dyDescent="0.3">
      <c r="B24" s="109"/>
      <c r="C24" s="110"/>
      <c r="D24" s="228"/>
      <c r="E24" s="228"/>
      <c r="F24" s="228"/>
      <c r="G24" s="228"/>
      <c r="H24" s="228"/>
      <c r="I24" s="228"/>
      <c r="J24" s="228"/>
    </row>
    <row r="25" spans="1:23" x14ac:dyDescent="0.3">
      <c r="B25" s="109"/>
      <c r="C25" s="110"/>
      <c r="D25" s="110"/>
      <c r="E25" s="110"/>
      <c r="F25" s="110"/>
      <c r="G25" s="110"/>
      <c r="H25" s="110"/>
      <c r="I25" s="110"/>
      <c r="J25" s="110"/>
    </row>
  </sheetData>
  <mergeCells count="5">
    <mergeCell ref="B2:I2"/>
    <mergeCell ref="L4:S4"/>
    <mergeCell ref="C4:J4"/>
    <mergeCell ref="I5:J5"/>
    <mergeCell ref="C5:G5"/>
  </mergeCells>
  <hyperlinks>
    <hyperlink ref="B4" location="Contents!A1" display="Contents!A1" xr:uid="{00000000-0004-0000-0A00-000000000000}"/>
    <hyperlink ref="S2" location="Contents!A1" display="Contents!A1" xr:uid="{00000000-0004-0000-0A00-000001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AA33"/>
  <sheetViews>
    <sheetView showGridLines="0" zoomScale="80" zoomScaleNormal="80" workbookViewId="0">
      <pane ySplit="6" topLeftCell="A7" activePane="bottomLeft" state="frozen"/>
      <selection activeCell="D28" sqref="D28"/>
      <selection pane="bottomLeft"/>
    </sheetView>
  </sheetViews>
  <sheetFormatPr defaultColWidth="9.109375" defaultRowHeight="13.8" x14ac:dyDescent="0.3"/>
  <cols>
    <col min="1" max="1" width="6" style="36" customWidth="1"/>
    <col min="2" max="2" width="50.6640625" style="2" customWidth="1"/>
    <col min="3" max="9" width="9.5546875" style="7" customWidth="1"/>
    <col min="10" max="10" width="3.21875" style="275" customWidth="1"/>
    <col min="11" max="12" width="9.5546875" style="7" customWidth="1"/>
    <col min="13" max="13" width="9.109375" style="1"/>
    <col min="14" max="20" width="9.5546875" style="1" customWidth="1"/>
    <col min="21" max="21" width="3.21875" style="1" customWidth="1"/>
    <col min="22" max="23" width="9.5546875" style="1" customWidth="1"/>
    <col min="24" max="24" width="6.6640625" style="1" customWidth="1"/>
    <col min="25" max="16384" width="9.109375" style="1"/>
  </cols>
  <sheetData>
    <row r="1" spans="1:23" ht="14.1" customHeight="1" x14ac:dyDescent="0.3">
      <c r="B1" s="123"/>
      <c r="C1" s="123"/>
      <c r="D1" s="123"/>
      <c r="E1" s="123"/>
      <c r="F1" s="123"/>
      <c r="G1" s="123"/>
      <c r="H1" s="123"/>
      <c r="I1" s="123"/>
      <c r="J1" s="261"/>
      <c r="K1" s="123"/>
      <c r="L1" s="123"/>
      <c r="N1" s="27"/>
    </row>
    <row r="2" spans="1:23" ht="14.1" customHeight="1" x14ac:dyDescent="0.3">
      <c r="B2" s="465" t="str">
        <f>IF(LanguagePage!$C$301=1,LanguagePage!$C$298,LanguagePage!$C$299)</f>
        <v>ДОЛГОВАЯ НАГРУЗКА</v>
      </c>
      <c r="C2" s="465"/>
      <c r="D2" s="465"/>
      <c r="E2" s="465"/>
      <c r="F2" s="223"/>
      <c r="G2" s="249"/>
      <c r="H2" s="259"/>
      <c r="I2" s="295"/>
      <c r="J2" s="262"/>
      <c r="K2" s="259"/>
      <c r="L2" s="295"/>
      <c r="N2" s="27"/>
      <c r="W2" s="211" t="str">
        <f>Contents!$B$2</f>
        <v>СОДЕРЖАНИЕ</v>
      </c>
    </row>
    <row r="3" spans="1:23" ht="14.1" customHeight="1" x14ac:dyDescent="0.3">
      <c r="C3" s="1"/>
      <c r="D3" s="1"/>
      <c r="E3" s="1"/>
      <c r="F3" s="1"/>
      <c r="G3" s="1"/>
      <c r="H3" s="1"/>
      <c r="I3" s="1"/>
      <c r="J3" s="263"/>
      <c r="K3" s="1"/>
      <c r="L3" s="1"/>
    </row>
    <row r="4" spans="1:23" ht="14.1" customHeight="1" x14ac:dyDescent="0.3">
      <c r="B4" s="230" t="str">
        <f>Contents!$B$4</f>
        <v>Выбор языка: РУССКИЙ</v>
      </c>
      <c r="C4" s="481" t="str">
        <f>CHOOSE(LanguagePage!$C$301,LanguagePage!$D$302,LanguagePage!$D$303)</f>
        <v>тыс. BYN</v>
      </c>
      <c r="D4" s="482"/>
      <c r="E4" s="482"/>
      <c r="F4" s="482"/>
      <c r="G4" s="482"/>
      <c r="H4" s="482"/>
      <c r="I4" s="482"/>
      <c r="J4" s="482"/>
      <c r="K4" s="482"/>
      <c r="L4" s="483"/>
      <c r="N4" s="481" t="str">
        <f>CHOOSE(LanguagePage!$C$301,LanguagePage!E302,LanguagePage!E303)</f>
        <v>тыс. USD</v>
      </c>
      <c r="O4" s="482"/>
      <c r="P4" s="482"/>
      <c r="Q4" s="482"/>
      <c r="R4" s="482"/>
      <c r="S4" s="482"/>
      <c r="T4" s="482"/>
      <c r="U4" s="482"/>
      <c r="V4" s="482"/>
      <c r="W4" s="483"/>
    </row>
    <row r="5" spans="1:23" ht="14.1" customHeight="1" x14ac:dyDescent="0.3">
      <c r="C5" s="485" t="s">
        <v>721</v>
      </c>
      <c r="D5" s="485"/>
      <c r="E5" s="485"/>
      <c r="F5" s="485"/>
      <c r="G5" s="485"/>
      <c r="H5" s="485"/>
      <c r="I5" s="485"/>
      <c r="J5" s="263"/>
      <c r="K5" s="484" t="s">
        <v>722</v>
      </c>
      <c r="L5" s="484"/>
      <c r="N5" s="26">
        <v>1.1850000000000001</v>
      </c>
      <c r="O5" s="26">
        <v>1.8569</v>
      </c>
      <c r="P5" s="26">
        <v>1.9584999999999999</v>
      </c>
      <c r="Q5" s="26">
        <v>1.9726999999999999</v>
      </c>
      <c r="R5" s="26">
        <v>2.1598000000000002</v>
      </c>
      <c r="S5" s="26">
        <v>2.1036000000000001</v>
      </c>
      <c r="T5" s="26">
        <v>2.5789</v>
      </c>
      <c r="V5" s="26">
        <f>S5</f>
        <v>2.1036000000000001</v>
      </c>
      <c r="W5" s="26">
        <v>2.5789</v>
      </c>
    </row>
    <row r="6" spans="1:23" ht="14.1" customHeight="1" x14ac:dyDescent="0.3">
      <c r="B6" s="8"/>
      <c r="C6" s="14">
        <f>CHOOSE(LanguagePage!$C$301,LanguagePage!D$305,LanguagePage!D$306)</f>
        <v>2014</v>
      </c>
      <c r="D6" s="14">
        <f>CHOOSE(LanguagePage!$C$301,LanguagePage!E$305,LanguagePage!E$306)</f>
        <v>2015</v>
      </c>
      <c r="E6" s="14">
        <f>CHOOSE(LanguagePage!$C$301,LanguagePage!F$305,LanguagePage!F$306)</f>
        <v>2016</v>
      </c>
      <c r="F6" s="14">
        <f>CHOOSE(LanguagePage!$C$301,LanguagePage!G$305,LanguagePage!G$306)</f>
        <v>2017</v>
      </c>
      <c r="G6" s="14">
        <f>CHOOSE(LanguagePage!$C$301,LanguagePage!H$305,LanguagePage!H$306)</f>
        <v>2018</v>
      </c>
      <c r="H6" s="14">
        <f>CHOOSE(LanguagePage!$C$301,LanguagePage!I$305,LanguagePage!I$306)</f>
        <v>2019</v>
      </c>
      <c r="I6" s="14">
        <f>CHOOSE(LanguagePage!$C$301,LanguagePage!J$305,LanguagePage!J$306)</f>
        <v>2020</v>
      </c>
      <c r="J6" s="264"/>
      <c r="K6" s="255">
        <f>H6</f>
        <v>2019</v>
      </c>
      <c r="L6" s="255">
        <f>I6</f>
        <v>2020</v>
      </c>
      <c r="N6" s="14">
        <f t="shared" ref="N6:T6" si="0">C6</f>
        <v>2014</v>
      </c>
      <c r="O6" s="14">
        <f t="shared" si="0"/>
        <v>2015</v>
      </c>
      <c r="P6" s="14">
        <f t="shared" si="0"/>
        <v>2016</v>
      </c>
      <c r="Q6" s="14">
        <f t="shared" si="0"/>
        <v>2017</v>
      </c>
      <c r="R6" s="14">
        <f t="shared" si="0"/>
        <v>2018</v>
      </c>
      <c r="S6" s="14">
        <f t="shared" si="0"/>
        <v>2019</v>
      </c>
      <c r="T6" s="14">
        <f t="shared" si="0"/>
        <v>2020</v>
      </c>
      <c r="V6" s="255">
        <f>S6</f>
        <v>2019</v>
      </c>
      <c r="W6" s="255">
        <f>T6</f>
        <v>2020</v>
      </c>
    </row>
    <row r="7" spans="1:23" s="36" customFormat="1" x14ac:dyDescent="0.3">
      <c r="B7" s="62"/>
      <c r="C7" s="63"/>
      <c r="D7" s="63"/>
      <c r="E7" s="63"/>
      <c r="F7" s="63"/>
      <c r="G7" s="63"/>
      <c r="H7" s="63"/>
      <c r="I7" s="63"/>
      <c r="J7" s="264"/>
      <c r="K7" s="63"/>
      <c r="L7" s="63"/>
      <c r="N7" s="63"/>
      <c r="O7" s="63"/>
      <c r="P7" s="63"/>
    </row>
    <row r="8" spans="1:23" x14ac:dyDescent="0.3">
      <c r="A8" s="37"/>
      <c r="B8" s="346" t="str">
        <f>CHOOSE(LanguagePage!$C$301,LanguagePage!$C316,LanguagePage!$D316)</f>
        <v>EBITDA</v>
      </c>
      <c r="C8" s="323">
        <v>159518</v>
      </c>
      <c r="D8" s="323">
        <v>221477</v>
      </c>
      <c r="E8" s="323">
        <v>257423</v>
      </c>
      <c r="F8" s="323">
        <v>371684</v>
      </c>
      <c r="G8" s="323">
        <v>396131</v>
      </c>
      <c r="H8" s="323">
        <v>305767</v>
      </c>
      <c r="I8" s="323">
        <f>FY_IFRS_EBITDA!I14</f>
        <v>436910</v>
      </c>
      <c r="J8" s="326"/>
      <c r="K8" s="323">
        <v>434547</v>
      </c>
      <c r="L8" s="323">
        <f>FY_IFRS_EBITDA!L14</f>
        <v>576166</v>
      </c>
      <c r="M8" s="378"/>
      <c r="N8" s="323">
        <v>134614.34599156119</v>
      </c>
      <c r="O8" s="323">
        <v>139604.35232611938</v>
      </c>
      <c r="P8" s="323">
        <v>129455.87125974354</v>
      </c>
      <c r="Q8" s="323">
        <v>192402.9402629672</v>
      </c>
      <c r="R8" s="323">
        <v>194506.03947756064</v>
      </c>
      <c r="S8" s="323">
        <v>146202.0656019891</v>
      </c>
      <c r="T8" s="323">
        <f>FY_IFRS_EBITDA!T14</f>
        <v>179436.52716744016</v>
      </c>
      <c r="U8" s="326"/>
      <c r="V8" s="323">
        <v>207778.04341589363</v>
      </c>
      <c r="W8" s="323">
        <f>FY_IFRS_EBITDA!W14</f>
        <v>236628.19828329707</v>
      </c>
    </row>
    <row r="9" spans="1:23" ht="12.6" customHeight="1" x14ac:dyDescent="0.3">
      <c r="A9" s="37"/>
      <c r="B9" s="347"/>
      <c r="C9" s="325"/>
      <c r="D9" s="325"/>
      <c r="E9" s="325"/>
      <c r="F9" s="325"/>
      <c r="G9" s="325"/>
      <c r="H9" s="325"/>
      <c r="I9" s="325"/>
      <c r="J9" s="326"/>
      <c r="K9" s="325"/>
      <c r="L9" s="325"/>
      <c r="M9" s="378"/>
      <c r="N9" s="325"/>
      <c r="O9" s="325"/>
      <c r="P9" s="325"/>
      <c r="Q9" s="325"/>
      <c r="R9" s="325"/>
      <c r="S9" s="325"/>
      <c r="T9" s="325"/>
      <c r="U9" s="326"/>
      <c r="V9" s="325"/>
      <c r="W9" s="325"/>
    </row>
    <row r="10" spans="1:23" x14ac:dyDescent="0.3">
      <c r="A10" s="37"/>
      <c r="B10" s="434" t="str">
        <f>CHOOSE(LanguagePage!$C$301,LanguagePage!$C318,LanguagePage!$D318)</f>
        <v>Долгосрочный долг</v>
      </c>
      <c r="C10" s="385">
        <f>C11+C12+C13</f>
        <v>587829</v>
      </c>
      <c r="D10" s="385">
        <f t="shared" ref="D10:L10" si="1">D11+D12+D13</f>
        <v>846180</v>
      </c>
      <c r="E10" s="385">
        <f t="shared" si="1"/>
        <v>752176</v>
      </c>
      <c r="F10" s="385">
        <f t="shared" si="1"/>
        <v>1334813</v>
      </c>
      <c r="G10" s="385">
        <f t="shared" si="1"/>
        <v>1226767</v>
      </c>
      <c r="H10" s="385">
        <f t="shared" si="1"/>
        <v>1210877</v>
      </c>
      <c r="I10" s="385">
        <f t="shared" si="1"/>
        <v>1483381</v>
      </c>
      <c r="J10" s="326"/>
      <c r="K10" s="385">
        <f t="shared" si="1"/>
        <v>1467171</v>
      </c>
      <c r="L10" s="385">
        <f t="shared" si="1"/>
        <v>1820851</v>
      </c>
      <c r="M10" s="378"/>
      <c r="N10" s="385">
        <f>N11+N12+N13</f>
        <v>496058.22784810129</v>
      </c>
      <c r="O10" s="385">
        <f t="shared" ref="O10:V10" si="2">O11+O12+O13</f>
        <v>455694.97549679573</v>
      </c>
      <c r="P10" s="385">
        <f t="shared" si="2"/>
        <v>384057.18662241515</v>
      </c>
      <c r="Q10" s="385">
        <f t="shared" si="2"/>
        <v>676642.67247934302</v>
      </c>
      <c r="R10" s="385">
        <f t="shared" si="2"/>
        <v>568000.2778035003</v>
      </c>
      <c r="S10" s="385">
        <f t="shared" si="2"/>
        <v>575621.3158395132</v>
      </c>
      <c r="T10" s="385">
        <f t="shared" ref="T10" si="3">T11+T12+T13</f>
        <v>575199.11590212886</v>
      </c>
      <c r="U10" s="326"/>
      <c r="V10" s="385">
        <f t="shared" si="2"/>
        <v>697457.21620079863</v>
      </c>
      <c r="W10" s="385">
        <f t="shared" ref="W10" si="4">W11+W12+W13</f>
        <v>706057.23370429256</v>
      </c>
    </row>
    <row r="11" spans="1:23" x14ac:dyDescent="0.3">
      <c r="A11" s="37"/>
      <c r="B11" s="318" t="str">
        <f>CHOOSE(LanguagePage!$C$301,LanguagePage!$C319,LanguagePage!$D319)</f>
        <v>Долгосрочные кредиты и займы</v>
      </c>
      <c r="C11" s="306">
        <v>577997</v>
      </c>
      <c r="D11" s="306">
        <v>755400</v>
      </c>
      <c r="E11" s="306">
        <v>672660</v>
      </c>
      <c r="F11" s="306">
        <v>1264556</v>
      </c>
      <c r="G11" s="306">
        <v>1163574</v>
      </c>
      <c r="H11" s="306">
        <v>1199107</v>
      </c>
      <c r="I11" s="306">
        <f>FY_IFRS_BS!I44</f>
        <v>1476281</v>
      </c>
      <c r="J11" s="316"/>
      <c r="K11" s="306">
        <v>1199107</v>
      </c>
      <c r="L11" s="306">
        <f>FY_IFRS_BS!L44</f>
        <v>1476281</v>
      </c>
      <c r="M11" s="313"/>
      <c r="N11" s="306">
        <f t="shared" ref="N11:T13" si="5">C11/N$5</f>
        <v>487761.18143459916</v>
      </c>
      <c r="O11" s="306">
        <f t="shared" si="5"/>
        <v>406807.04399806127</v>
      </c>
      <c r="P11" s="306">
        <f t="shared" si="5"/>
        <v>343456.72708705644</v>
      </c>
      <c r="Q11" s="306">
        <f t="shared" si="5"/>
        <v>641028.03264561261</v>
      </c>
      <c r="R11" s="306">
        <f t="shared" si="5"/>
        <v>538741.55014353176</v>
      </c>
      <c r="S11" s="306">
        <f t="shared" si="5"/>
        <v>570026.14565506752</v>
      </c>
      <c r="T11" s="306">
        <f t="shared" si="5"/>
        <v>572446.00411027961</v>
      </c>
      <c r="U11" s="316"/>
      <c r="V11" s="306">
        <f t="shared" ref="V11:W13" si="6">K11/V$5</f>
        <v>570026.14565506752</v>
      </c>
      <c r="W11" s="306">
        <f t="shared" si="6"/>
        <v>572446.00411027961</v>
      </c>
    </row>
    <row r="12" spans="1:23" x14ac:dyDescent="0.3">
      <c r="A12" s="37"/>
      <c r="B12" s="318" t="str">
        <f>CHOOSE(LanguagePage!$C$301,LanguagePage!$C320,LanguagePage!$D320)</f>
        <v xml:space="preserve">Долгосрочные обязательства по финансовой аренде </v>
      </c>
      <c r="C12" s="306">
        <v>9832</v>
      </c>
      <c r="D12" s="306">
        <v>90780</v>
      </c>
      <c r="E12" s="306">
        <v>79516</v>
      </c>
      <c r="F12" s="315">
        <v>70257</v>
      </c>
      <c r="G12" s="315">
        <v>63193</v>
      </c>
      <c r="H12" s="315">
        <v>11770</v>
      </c>
      <c r="I12" s="315">
        <f>FY_IFRS_BS!I45</f>
        <v>7100</v>
      </c>
      <c r="J12" s="316"/>
      <c r="K12" s="315">
        <v>11770</v>
      </c>
      <c r="L12" s="315">
        <f>I12</f>
        <v>7100</v>
      </c>
      <c r="M12" s="313"/>
      <c r="N12" s="306">
        <f t="shared" si="5"/>
        <v>8297.0464135021102</v>
      </c>
      <c r="O12" s="306">
        <f t="shared" si="5"/>
        <v>48887.931498734448</v>
      </c>
      <c r="P12" s="306">
        <f t="shared" si="5"/>
        <v>40600.459535358692</v>
      </c>
      <c r="Q12" s="306">
        <f t="shared" si="5"/>
        <v>35614.63983373042</v>
      </c>
      <c r="R12" s="306">
        <f t="shared" si="5"/>
        <v>29258.727659968514</v>
      </c>
      <c r="S12" s="306">
        <f t="shared" si="5"/>
        <v>5595.170184445712</v>
      </c>
      <c r="T12" s="306">
        <f t="shared" si="5"/>
        <v>2753.1117918492382</v>
      </c>
      <c r="U12" s="316"/>
      <c r="V12" s="306">
        <f t="shared" si="6"/>
        <v>5595.170184445712</v>
      </c>
      <c r="W12" s="306">
        <f t="shared" si="6"/>
        <v>2753.1117918492382</v>
      </c>
    </row>
    <row r="13" spans="1:23" x14ac:dyDescent="0.3">
      <c r="A13" s="37"/>
      <c r="B13" s="318" t="str">
        <f>CHOOSE(LanguagePage!$C$301,LanguagePage!$C321,LanguagePage!$D321)</f>
        <v>Долгосрочные обязательства по правам аренды</v>
      </c>
      <c r="C13" s="306">
        <v>0</v>
      </c>
      <c r="D13" s="306">
        <v>0</v>
      </c>
      <c r="E13" s="306">
        <v>0</v>
      </c>
      <c r="F13" s="306">
        <v>0</v>
      </c>
      <c r="G13" s="306">
        <v>0</v>
      </c>
      <c r="H13" s="306">
        <v>0</v>
      </c>
      <c r="I13" s="306">
        <v>0</v>
      </c>
      <c r="J13" s="316"/>
      <c r="K13" s="306">
        <v>256294</v>
      </c>
      <c r="L13" s="306">
        <f>FY_IFRS_BS!L45-FY_IFRS_Debt!L12</f>
        <v>337470</v>
      </c>
      <c r="M13" s="313"/>
      <c r="N13" s="306">
        <f t="shared" si="5"/>
        <v>0</v>
      </c>
      <c r="O13" s="306">
        <f t="shared" si="5"/>
        <v>0</v>
      </c>
      <c r="P13" s="306">
        <f t="shared" si="5"/>
        <v>0</v>
      </c>
      <c r="Q13" s="306">
        <f t="shared" si="5"/>
        <v>0</v>
      </c>
      <c r="R13" s="306">
        <f t="shared" si="5"/>
        <v>0</v>
      </c>
      <c r="S13" s="306">
        <f t="shared" si="5"/>
        <v>0</v>
      </c>
      <c r="T13" s="306">
        <f t="shared" si="5"/>
        <v>0</v>
      </c>
      <c r="U13" s="316"/>
      <c r="V13" s="306">
        <f t="shared" si="6"/>
        <v>121835.90036128541</v>
      </c>
      <c r="W13" s="306">
        <f t="shared" si="6"/>
        <v>130858.11780216372</v>
      </c>
    </row>
    <row r="14" spans="1:23" x14ac:dyDescent="0.3">
      <c r="A14" s="37"/>
      <c r="B14" s="416"/>
      <c r="C14" s="327"/>
      <c r="D14" s="327"/>
      <c r="E14" s="327"/>
      <c r="F14" s="327"/>
      <c r="G14" s="327"/>
      <c r="H14" s="327"/>
      <c r="I14" s="327"/>
      <c r="J14" s="328"/>
      <c r="K14" s="327"/>
      <c r="L14" s="327"/>
      <c r="M14" s="378"/>
      <c r="N14" s="327"/>
      <c r="O14" s="327"/>
      <c r="P14" s="327"/>
      <c r="Q14" s="327"/>
      <c r="R14" s="327"/>
      <c r="S14" s="327"/>
      <c r="T14" s="327"/>
      <c r="U14" s="328"/>
      <c r="V14" s="327"/>
      <c r="W14" s="327"/>
    </row>
    <row r="15" spans="1:23" x14ac:dyDescent="0.3">
      <c r="A15" s="37"/>
      <c r="B15" s="434" t="str">
        <f>CHOOSE(LanguagePage!$C$301,LanguagePage!$C323,LanguagePage!$D323)</f>
        <v>Краткосрочный долг</v>
      </c>
      <c r="C15" s="385">
        <f>C16+C17+C18</f>
        <v>233644</v>
      </c>
      <c r="D15" s="385">
        <f t="shared" ref="D15:L15" si="7">D16+D17+D18</f>
        <v>453164</v>
      </c>
      <c r="E15" s="385">
        <f t="shared" si="7"/>
        <v>533257</v>
      </c>
      <c r="F15" s="385">
        <f t="shared" si="7"/>
        <v>31674</v>
      </c>
      <c r="G15" s="385">
        <f t="shared" si="7"/>
        <v>23178</v>
      </c>
      <c r="H15" s="385">
        <f t="shared" si="7"/>
        <v>8477</v>
      </c>
      <c r="I15" s="385">
        <f t="shared" si="7"/>
        <v>18960</v>
      </c>
      <c r="J15" s="326"/>
      <c r="K15" s="385">
        <f t="shared" si="7"/>
        <v>107200</v>
      </c>
      <c r="L15" s="385">
        <f t="shared" si="7"/>
        <v>158927</v>
      </c>
      <c r="M15" s="378"/>
      <c r="N15" s="385">
        <f>N16+N17+N18</f>
        <v>197167.93248945146</v>
      </c>
      <c r="O15" s="385">
        <f t="shared" ref="O15:V15" si="8">O16+O17+O18</f>
        <v>244043.2979697345</v>
      </c>
      <c r="P15" s="385">
        <f t="shared" si="8"/>
        <v>272278.2741894307</v>
      </c>
      <c r="Q15" s="385">
        <f t="shared" si="8"/>
        <v>16056.166675115324</v>
      </c>
      <c r="R15" s="385">
        <f t="shared" si="8"/>
        <v>10731.54921752014</v>
      </c>
      <c r="S15" s="385">
        <f t="shared" si="8"/>
        <v>4029.7585092222853</v>
      </c>
      <c r="T15" s="385">
        <f t="shared" ref="T15" si="9">T16+T17+T18</f>
        <v>7351.9717709100787</v>
      </c>
      <c r="U15" s="326"/>
      <c r="V15" s="385">
        <f t="shared" si="8"/>
        <v>50960.258604297393</v>
      </c>
      <c r="W15" s="385">
        <f t="shared" ref="W15" si="10">W16+W17+W18</f>
        <v>61625.887006087869</v>
      </c>
    </row>
    <row r="16" spans="1:23" x14ac:dyDescent="0.3">
      <c r="A16" s="37"/>
      <c r="B16" s="318" t="str">
        <f>CHOOSE(LanguagePage!$C$301,LanguagePage!$C324,LanguagePage!$D324)</f>
        <v>Краткосрочные кредиты и займы</v>
      </c>
      <c r="C16" s="306">
        <v>225894</v>
      </c>
      <c r="D16" s="306">
        <v>435831</v>
      </c>
      <c r="E16" s="306">
        <v>514569</v>
      </c>
      <c r="F16" s="306">
        <v>20871</v>
      </c>
      <c r="G16" s="306">
        <v>9453</v>
      </c>
      <c r="H16" s="306">
        <v>1785</v>
      </c>
      <c r="I16" s="306">
        <f>FY_IFRS_BS!I52</f>
        <v>12786</v>
      </c>
      <c r="J16" s="316"/>
      <c r="K16" s="306">
        <v>1785</v>
      </c>
      <c r="L16" s="306">
        <f>FY_IFRS_BS!L52</f>
        <v>12786</v>
      </c>
      <c r="M16" s="313"/>
      <c r="N16" s="306">
        <f t="shared" ref="N16:T18" si="11">C16/N$5</f>
        <v>190627.84810126582</v>
      </c>
      <c r="O16" s="306">
        <f t="shared" si="11"/>
        <v>234708.92347460822</v>
      </c>
      <c r="P16" s="306">
        <f t="shared" si="11"/>
        <v>262736.27776359458</v>
      </c>
      <c r="Q16" s="306">
        <f t="shared" si="11"/>
        <v>10579.915851371217</v>
      </c>
      <c r="R16" s="306">
        <f t="shared" si="11"/>
        <v>4376.7941476062597</v>
      </c>
      <c r="S16" s="306">
        <f t="shared" si="11"/>
        <v>848.54535082715336</v>
      </c>
      <c r="T16" s="306">
        <f t="shared" si="11"/>
        <v>4957.9277986738534</v>
      </c>
      <c r="U16" s="316"/>
      <c r="V16" s="306">
        <f t="shared" ref="V16:W18" si="12">K16/V$5</f>
        <v>848.54535082715336</v>
      </c>
      <c r="W16" s="306">
        <f t="shared" si="12"/>
        <v>4957.9277986738534</v>
      </c>
    </row>
    <row r="17" spans="1:27" x14ac:dyDescent="0.3">
      <c r="A17" s="37"/>
      <c r="B17" s="318" t="str">
        <f>CHOOSE(LanguagePage!$C$301,LanguagePage!$C325,LanguagePage!$D325)</f>
        <v xml:space="preserve">Краткосрочные обязательства по финансовой аренде </v>
      </c>
      <c r="C17" s="306">
        <v>7750</v>
      </c>
      <c r="D17" s="306">
        <v>17333</v>
      </c>
      <c r="E17" s="306">
        <v>18688</v>
      </c>
      <c r="F17" s="315">
        <v>10803</v>
      </c>
      <c r="G17" s="315">
        <v>13725</v>
      </c>
      <c r="H17" s="315">
        <v>6692</v>
      </c>
      <c r="I17" s="315">
        <f>FY_IFRS_BS!I54</f>
        <v>6174</v>
      </c>
      <c r="J17" s="316"/>
      <c r="K17" s="315">
        <v>6692</v>
      </c>
      <c r="L17" s="315">
        <f>I17</f>
        <v>6174</v>
      </c>
      <c r="M17" s="313"/>
      <c r="N17" s="306">
        <f t="shared" si="11"/>
        <v>6540.0843881856536</v>
      </c>
      <c r="O17" s="306">
        <f t="shared" si="11"/>
        <v>9334.3744951262852</v>
      </c>
      <c r="P17" s="306">
        <f t="shared" si="11"/>
        <v>9541.9964258360997</v>
      </c>
      <c r="Q17" s="306">
        <f t="shared" si="11"/>
        <v>5476.250823744107</v>
      </c>
      <c r="R17" s="306">
        <f t="shared" si="11"/>
        <v>6354.7550699138801</v>
      </c>
      <c r="S17" s="306">
        <f t="shared" si="11"/>
        <v>3181.2131583951318</v>
      </c>
      <c r="T17" s="306">
        <f t="shared" si="11"/>
        <v>2394.0439722362248</v>
      </c>
      <c r="U17" s="316"/>
      <c r="V17" s="306">
        <f t="shared" si="12"/>
        <v>3181.2131583951318</v>
      </c>
      <c r="W17" s="306">
        <f t="shared" si="12"/>
        <v>2394.0439722362248</v>
      </c>
    </row>
    <row r="18" spans="1:27" x14ac:dyDescent="0.3">
      <c r="A18" s="37"/>
      <c r="B18" s="318" t="str">
        <f>CHOOSE(LanguagePage!$C$301,LanguagePage!$C326,LanguagePage!$D326)</f>
        <v>Краткосрочные обязательства по правам аренды</v>
      </c>
      <c r="C18" s="306">
        <v>0</v>
      </c>
      <c r="D18" s="306">
        <v>0</v>
      </c>
      <c r="E18" s="306">
        <v>0</v>
      </c>
      <c r="F18" s="306">
        <v>0</v>
      </c>
      <c r="G18" s="306">
        <v>0</v>
      </c>
      <c r="H18" s="306">
        <v>0</v>
      </c>
      <c r="I18" s="306">
        <v>0</v>
      </c>
      <c r="J18" s="316"/>
      <c r="K18" s="306">
        <v>98723</v>
      </c>
      <c r="L18" s="306">
        <f>FY_IFRS_BS!L54-FY_IFRS_Debt!L17</f>
        <v>139967</v>
      </c>
      <c r="M18" s="313"/>
      <c r="N18" s="306">
        <f t="shared" si="11"/>
        <v>0</v>
      </c>
      <c r="O18" s="306">
        <f t="shared" si="11"/>
        <v>0</v>
      </c>
      <c r="P18" s="306">
        <f t="shared" si="11"/>
        <v>0</v>
      </c>
      <c r="Q18" s="306">
        <f t="shared" si="11"/>
        <v>0</v>
      </c>
      <c r="R18" s="306">
        <f t="shared" si="11"/>
        <v>0</v>
      </c>
      <c r="S18" s="306">
        <f t="shared" si="11"/>
        <v>0</v>
      </c>
      <c r="T18" s="306">
        <f t="shared" si="11"/>
        <v>0</v>
      </c>
      <c r="U18" s="316"/>
      <c r="V18" s="306">
        <f t="shared" si="12"/>
        <v>46930.500095075105</v>
      </c>
      <c r="W18" s="306">
        <f t="shared" si="12"/>
        <v>54273.915235177788</v>
      </c>
    </row>
    <row r="19" spans="1:27" x14ac:dyDescent="0.3">
      <c r="A19" s="37"/>
      <c r="B19" s="305"/>
      <c r="C19" s="422"/>
      <c r="D19" s="422"/>
      <c r="E19" s="422"/>
      <c r="F19" s="327"/>
      <c r="G19" s="327"/>
      <c r="H19" s="327"/>
      <c r="I19" s="327"/>
      <c r="J19" s="328"/>
      <c r="K19" s="327"/>
      <c r="L19" s="327"/>
      <c r="M19" s="378"/>
      <c r="N19" s="422"/>
      <c r="O19" s="422"/>
      <c r="P19" s="422"/>
      <c r="Q19" s="327"/>
      <c r="R19" s="327"/>
      <c r="S19" s="327"/>
      <c r="T19" s="327"/>
      <c r="U19" s="328"/>
      <c r="V19" s="327"/>
      <c r="W19" s="327"/>
    </row>
    <row r="20" spans="1:27" x14ac:dyDescent="0.3">
      <c r="A20" s="37"/>
      <c r="B20" s="299" t="str">
        <f>CHOOSE(LanguagePage!$C$301,LanguagePage!$C328,LanguagePage!$D328)</f>
        <v>Долг</v>
      </c>
      <c r="C20" s="423">
        <f t="shared" ref="C20:I20" si="13">C15+C10</f>
        <v>821473</v>
      </c>
      <c r="D20" s="300">
        <f t="shared" si="13"/>
        <v>1299344</v>
      </c>
      <c r="E20" s="300">
        <f t="shared" si="13"/>
        <v>1285433</v>
      </c>
      <c r="F20" s="300">
        <f t="shared" si="13"/>
        <v>1366487</v>
      </c>
      <c r="G20" s="300">
        <f t="shared" si="13"/>
        <v>1249945</v>
      </c>
      <c r="H20" s="300">
        <f t="shared" si="13"/>
        <v>1219354</v>
      </c>
      <c r="I20" s="300">
        <f t="shared" si="13"/>
        <v>1502341</v>
      </c>
      <c r="J20" s="336"/>
      <c r="K20" s="300">
        <f>K15+K10</f>
        <v>1574371</v>
      </c>
      <c r="L20" s="300">
        <f>L15+L10</f>
        <v>1979778</v>
      </c>
      <c r="M20" s="378"/>
      <c r="N20" s="423">
        <f>N15+N10</f>
        <v>693226.16033755278</v>
      </c>
      <c r="O20" s="423">
        <f t="shared" ref="O20:V20" si="14">O15+O10</f>
        <v>699738.27346653026</v>
      </c>
      <c r="P20" s="423">
        <f t="shared" si="14"/>
        <v>656335.46081184584</v>
      </c>
      <c r="Q20" s="423">
        <f t="shared" si="14"/>
        <v>692698.83915445837</v>
      </c>
      <c r="R20" s="423">
        <f t="shared" si="14"/>
        <v>578731.82702102046</v>
      </c>
      <c r="S20" s="423">
        <f t="shared" si="14"/>
        <v>579651.07434873551</v>
      </c>
      <c r="T20" s="423">
        <f>T15+T10</f>
        <v>582551.08767303894</v>
      </c>
      <c r="U20" s="336"/>
      <c r="V20" s="423">
        <f t="shared" si="14"/>
        <v>748417.47480509605</v>
      </c>
      <c r="W20" s="423">
        <f t="shared" ref="W20" si="15">W15+W10</f>
        <v>767683.12071038038</v>
      </c>
    </row>
    <row r="21" spans="1:27" x14ac:dyDescent="0.3">
      <c r="A21" s="37"/>
      <c r="B21" s="419" t="str">
        <f>CHOOSE(LanguagePage!$C$301,LanguagePage!$C329,LanguagePage!$D329)</f>
        <v>Долг/EBITDA</v>
      </c>
      <c r="C21" s="424">
        <f t="shared" ref="C21:I21" si="16">C20/C$8</f>
        <v>5.1497197808397797</v>
      </c>
      <c r="D21" s="424">
        <f t="shared" si="16"/>
        <v>5.8667220524027321</v>
      </c>
      <c r="E21" s="424">
        <f t="shared" si="16"/>
        <v>4.993466007310924</v>
      </c>
      <c r="F21" s="424">
        <f t="shared" si="16"/>
        <v>3.6764751778392397</v>
      </c>
      <c r="G21" s="424">
        <f t="shared" si="16"/>
        <v>3.1553829415016748</v>
      </c>
      <c r="H21" s="424">
        <f t="shared" si="16"/>
        <v>3.9878534962896586</v>
      </c>
      <c r="I21" s="424">
        <f t="shared" si="16"/>
        <v>3.4385594287152959</v>
      </c>
      <c r="J21" s="425"/>
      <c r="K21" s="424">
        <f>K20/K$8</f>
        <v>3.6230166127024233</v>
      </c>
      <c r="L21" s="424">
        <f>L20/L$8</f>
        <v>3.4361243113963682</v>
      </c>
      <c r="M21" s="313"/>
      <c r="N21" s="424">
        <f t="shared" ref="N21:S21" si="17">N20/N$8</f>
        <v>5.1497197808397797</v>
      </c>
      <c r="O21" s="424">
        <f t="shared" si="17"/>
        <v>5.0122955467170787</v>
      </c>
      <c r="P21" s="424">
        <f t="shared" si="17"/>
        <v>5.0699551470706012</v>
      </c>
      <c r="Q21" s="424">
        <f t="shared" si="17"/>
        <v>3.6002507976630218</v>
      </c>
      <c r="R21" s="424">
        <f t="shared" si="17"/>
        <v>2.9753925820271836</v>
      </c>
      <c r="S21" s="424">
        <f t="shared" si="17"/>
        <v>3.9647256142518499</v>
      </c>
      <c r="T21" s="424">
        <f t="shared" ref="T21" si="18">T20/T$8</f>
        <v>3.2465579716076136</v>
      </c>
      <c r="U21" s="425"/>
      <c r="V21" s="424">
        <f>V20/V$8</f>
        <v>3.6020046319670325</v>
      </c>
      <c r="W21" s="424">
        <f>W20/W$8</f>
        <v>3.2442588257858067</v>
      </c>
    </row>
    <row r="22" spans="1:27" x14ac:dyDescent="0.3">
      <c r="A22" s="37"/>
      <c r="B22" s="417"/>
      <c r="C22" s="412"/>
      <c r="D22" s="412"/>
      <c r="E22" s="412"/>
      <c r="F22" s="412"/>
      <c r="G22" s="412"/>
      <c r="H22" s="412"/>
      <c r="I22" s="412"/>
      <c r="J22" s="413"/>
      <c r="K22" s="412"/>
      <c r="L22" s="412"/>
      <c r="M22" s="313"/>
      <c r="N22" s="412"/>
      <c r="O22" s="412"/>
      <c r="P22" s="412"/>
      <c r="Q22" s="412"/>
      <c r="R22" s="412"/>
      <c r="S22" s="412"/>
      <c r="T22" s="412"/>
      <c r="U22" s="413"/>
      <c r="V22" s="412"/>
      <c r="W22" s="412"/>
      <c r="X22" s="2"/>
      <c r="Y22" s="7"/>
      <c r="Z22" s="2"/>
      <c r="AA22" s="2"/>
    </row>
    <row r="23" spans="1:27" x14ac:dyDescent="0.3">
      <c r="A23" s="37"/>
      <c r="B23" s="305" t="str">
        <f>CHOOSE(LanguagePage!$C$301,LanguagePage!$C331,LanguagePage!$D331)</f>
        <v>Денежные средства и их эквиваленты</v>
      </c>
      <c r="C23" s="306">
        <v>53622</v>
      </c>
      <c r="D23" s="306">
        <v>59063</v>
      </c>
      <c r="E23" s="306">
        <v>74511</v>
      </c>
      <c r="F23" s="306">
        <v>173906</v>
      </c>
      <c r="G23" s="306">
        <v>176348</v>
      </c>
      <c r="H23" s="306">
        <v>294522</v>
      </c>
      <c r="I23" s="306">
        <f>FY_IFRS_CF!I73</f>
        <v>184238</v>
      </c>
      <c r="J23" s="316"/>
      <c r="K23" s="306">
        <v>294522</v>
      </c>
      <c r="L23" s="306">
        <f>FY_IFRS_CF!L73</f>
        <v>184238</v>
      </c>
      <c r="M23" s="313"/>
      <c r="N23" s="306">
        <f t="shared" ref="N23:T23" si="19">C23/N$5</f>
        <v>45250.6329113924</v>
      </c>
      <c r="O23" s="306">
        <f t="shared" si="19"/>
        <v>31807.313264042223</v>
      </c>
      <c r="P23" s="306">
        <f t="shared" si="19"/>
        <v>38044.932346183305</v>
      </c>
      <c r="Q23" s="306">
        <f t="shared" si="19"/>
        <v>88156.333958534</v>
      </c>
      <c r="R23" s="306">
        <f t="shared" si="19"/>
        <v>81650.152791925168</v>
      </c>
      <c r="S23" s="306">
        <f t="shared" si="19"/>
        <v>140008.55675984026</v>
      </c>
      <c r="T23" s="306">
        <f t="shared" si="19"/>
        <v>71440.536662918297</v>
      </c>
      <c r="U23" s="316"/>
      <c r="V23" s="306">
        <f t="shared" ref="V23:W23" si="20">K23/V$5</f>
        <v>140008.55675984026</v>
      </c>
      <c r="W23" s="306">
        <f t="shared" si="20"/>
        <v>71440.536662918297</v>
      </c>
    </row>
    <row r="24" spans="1:27" x14ac:dyDescent="0.3">
      <c r="B24" s="435"/>
      <c r="C24" s="426"/>
      <c r="D24" s="426"/>
      <c r="E24" s="426"/>
      <c r="F24" s="426"/>
      <c r="G24" s="426"/>
      <c r="H24" s="426"/>
      <c r="I24" s="426"/>
      <c r="J24" s="427"/>
      <c r="K24" s="426"/>
      <c r="L24" s="426"/>
      <c r="M24" s="304"/>
      <c r="N24" s="426"/>
      <c r="O24" s="426"/>
      <c r="P24" s="426"/>
      <c r="Q24" s="426"/>
      <c r="R24" s="426"/>
      <c r="S24" s="426"/>
      <c r="T24" s="426"/>
      <c r="U24" s="427"/>
      <c r="V24" s="426"/>
      <c r="W24" s="426"/>
    </row>
    <row r="25" spans="1:27" x14ac:dyDescent="0.3">
      <c r="B25" s="299" t="str">
        <f>CHOOSE(LanguagePage!$C$301,LanguagePage!$C332,LanguagePage!$D332)</f>
        <v>Чистый долг</v>
      </c>
      <c r="C25" s="300">
        <f t="shared" ref="C25:I25" si="21">C20-C23</f>
        <v>767851</v>
      </c>
      <c r="D25" s="300">
        <f t="shared" si="21"/>
        <v>1240281</v>
      </c>
      <c r="E25" s="300">
        <f t="shared" si="21"/>
        <v>1210922</v>
      </c>
      <c r="F25" s="300">
        <f t="shared" si="21"/>
        <v>1192581</v>
      </c>
      <c r="G25" s="300">
        <f t="shared" si="21"/>
        <v>1073597</v>
      </c>
      <c r="H25" s="300">
        <f t="shared" si="21"/>
        <v>924832</v>
      </c>
      <c r="I25" s="300">
        <f t="shared" si="21"/>
        <v>1318103</v>
      </c>
      <c r="J25" s="336"/>
      <c r="K25" s="300">
        <f>K20-K23</f>
        <v>1279849</v>
      </c>
      <c r="L25" s="300">
        <f>L20-L23</f>
        <v>1795540</v>
      </c>
      <c r="M25" s="378"/>
      <c r="N25" s="300">
        <f t="shared" ref="N25:S25" si="22">N20-N23</f>
        <v>647975.52742616041</v>
      </c>
      <c r="O25" s="300">
        <f t="shared" si="22"/>
        <v>667930.960202488</v>
      </c>
      <c r="P25" s="300">
        <f t="shared" si="22"/>
        <v>618290.5284656625</v>
      </c>
      <c r="Q25" s="300">
        <f t="shared" si="22"/>
        <v>604542.50519592431</v>
      </c>
      <c r="R25" s="300">
        <f t="shared" si="22"/>
        <v>497081.67422909528</v>
      </c>
      <c r="S25" s="300">
        <f t="shared" si="22"/>
        <v>439642.51758889528</v>
      </c>
      <c r="T25" s="300">
        <f>T20-T23</f>
        <v>511110.55101012066</v>
      </c>
      <c r="U25" s="336"/>
      <c r="V25" s="300">
        <f>V20-V23</f>
        <v>608408.91804525582</v>
      </c>
      <c r="W25" s="300">
        <f>W20-W23</f>
        <v>696242.58404746209</v>
      </c>
    </row>
    <row r="26" spans="1:27" x14ac:dyDescent="0.3">
      <c r="B26" s="419" t="str">
        <f>CHOOSE(LanguagePage!$C$301,LanguagePage!$C333,LanguagePage!$D333)</f>
        <v>Чистый долг/EBITDA</v>
      </c>
      <c r="C26" s="424">
        <f t="shared" ref="C26:I26" si="23">C25/C$8</f>
        <v>4.8135696285058742</v>
      </c>
      <c r="D26" s="424">
        <f t="shared" si="23"/>
        <v>5.6000442483869657</v>
      </c>
      <c r="E26" s="424">
        <f t="shared" si="23"/>
        <v>4.7040163466356928</v>
      </c>
      <c r="F26" s="424">
        <f t="shared" si="23"/>
        <v>3.2085884783848644</v>
      </c>
      <c r="G26" s="428">
        <f t="shared" si="23"/>
        <v>2.7102069769848862</v>
      </c>
      <c r="H26" s="428">
        <f t="shared" si="23"/>
        <v>3.0246298652241741</v>
      </c>
      <c r="I26" s="428">
        <f t="shared" si="23"/>
        <v>3.0168753290151291</v>
      </c>
      <c r="J26" s="429"/>
      <c r="K26" s="428">
        <f>K25/K$8</f>
        <v>2.9452487302869423</v>
      </c>
      <c r="L26" s="428">
        <f>L25/L$8</f>
        <v>3.116358827143566</v>
      </c>
      <c r="M26" s="313"/>
      <c r="N26" s="424">
        <f t="shared" ref="N26:S26" si="24">N25/N$8</f>
        <v>4.8135696285058742</v>
      </c>
      <c r="O26" s="424">
        <f t="shared" si="24"/>
        <v>4.7844565665272674</v>
      </c>
      <c r="P26" s="424">
        <f t="shared" si="24"/>
        <v>4.7760717412739719</v>
      </c>
      <c r="Q26" s="424">
        <f t="shared" si="24"/>
        <v>3.1420647957337051</v>
      </c>
      <c r="R26" s="428">
        <f t="shared" si="24"/>
        <v>2.5556104867707283</v>
      </c>
      <c r="S26" s="428">
        <f t="shared" si="24"/>
        <v>3.0070882773007406</v>
      </c>
      <c r="T26" s="428">
        <f t="shared" ref="T26" si="25">T25/T$8</f>
        <v>2.8484197675826661</v>
      </c>
      <c r="U26" s="429"/>
      <c r="V26" s="428">
        <f>V25/V$8</f>
        <v>2.9281675197385972</v>
      </c>
      <c r="W26" s="428">
        <f>W25/W$8</f>
        <v>2.9423483299902551</v>
      </c>
    </row>
    <row r="27" spans="1:27" x14ac:dyDescent="0.3">
      <c r="B27" s="435"/>
      <c r="C27" s="430"/>
      <c r="D27" s="430"/>
      <c r="E27" s="430"/>
      <c r="F27" s="430"/>
      <c r="G27" s="430"/>
      <c r="H27" s="430"/>
      <c r="I27" s="430"/>
      <c r="J27" s="421"/>
      <c r="K27" s="430"/>
      <c r="L27" s="430"/>
      <c r="M27" s="431"/>
      <c r="N27" s="430"/>
      <c r="O27" s="430"/>
      <c r="P27" s="430"/>
      <c r="Q27" s="430"/>
      <c r="R27" s="430"/>
      <c r="S27" s="430"/>
      <c r="T27" s="430"/>
      <c r="U27" s="421"/>
      <c r="V27" s="430"/>
      <c r="W27" s="430"/>
    </row>
    <row r="28" spans="1:27" x14ac:dyDescent="0.3">
      <c r="B28" s="318" t="str">
        <f>CHOOSE(LanguagePage!$C$301,LanguagePage!$C335,LanguagePage!$D335)</f>
        <v>Проценты по кредитам и займам (P&amp;L)</v>
      </c>
      <c r="C28" s="306">
        <v>-45734</v>
      </c>
      <c r="D28" s="306">
        <v>-98110</v>
      </c>
      <c r="E28" s="306">
        <v>-121927</v>
      </c>
      <c r="F28" s="306">
        <v>-123889</v>
      </c>
      <c r="G28" s="306">
        <v>-117717</v>
      </c>
      <c r="H28" s="306">
        <v>-120396</v>
      </c>
      <c r="I28" s="306">
        <v>-120581</v>
      </c>
      <c r="J28" s="316"/>
      <c r="K28" s="306">
        <v>-120396</v>
      </c>
      <c r="L28" s="306">
        <v>-120581</v>
      </c>
      <c r="M28" s="313"/>
      <c r="N28" s="306">
        <v>-38594.09282700422</v>
      </c>
      <c r="O28" s="306">
        <v>-61842.010713146614</v>
      </c>
      <c r="P28" s="306">
        <v>-61316.067387478004</v>
      </c>
      <c r="Q28" s="306">
        <v>-64131.380060047624</v>
      </c>
      <c r="R28" s="306">
        <v>-57800.746341942453</v>
      </c>
      <c r="S28" s="306">
        <v>-57567.179879506548</v>
      </c>
      <c r="T28" s="306">
        <f>I28/2.4349</f>
        <v>-49521.951620189742</v>
      </c>
      <c r="U28" s="316"/>
      <c r="V28" s="306">
        <v>-57567.179879506548</v>
      </c>
      <c r="W28" s="306">
        <f>L28/2.4349</f>
        <v>-49521.951620189742</v>
      </c>
    </row>
    <row r="29" spans="1:27" x14ac:dyDescent="0.3">
      <c r="B29" s="318" t="str">
        <f>CHOOSE(LanguagePage!$C$301,LanguagePage!$C336,LanguagePage!$D336)</f>
        <v>Проценты по финансовой аренде (P&amp;L)</v>
      </c>
      <c r="C29" s="306">
        <v>-2628</v>
      </c>
      <c r="D29" s="306">
        <v>-6183</v>
      </c>
      <c r="E29" s="306">
        <v>-14462</v>
      </c>
      <c r="F29" s="306">
        <v>-11880</v>
      </c>
      <c r="G29" s="306">
        <v>-13578</v>
      </c>
      <c r="H29" s="306">
        <v>-7553</v>
      </c>
      <c r="I29" s="306">
        <v>-1514</v>
      </c>
      <c r="J29" s="316"/>
      <c r="K29" s="306">
        <v>-7553</v>
      </c>
      <c r="L29" s="306">
        <v>-1514</v>
      </c>
      <c r="M29" s="313"/>
      <c r="N29" s="306">
        <v>-2217.7215189873418</v>
      </c>
      <c r="O29" s="306">
        <v>-3897.3514650839415</v>
      </c>
      <c r="P29" s="306">
        <v>-7272.8187075685191</v>
      </c>
      <c r="Q29" s="306">
        <v>-6149.7049383994199</v>
      </c>
      <c r="R29" s="306">
        <v>-6666.9940096238834</v>
      </c>
      <c r="S29" s="306">
        <v>-3611.4564406617574</v>
      </c>
      <c r="T29" s="306">
        <f>I29/2.4349</f>
        <v>-621.79144934083536</v>
      </c>
      <c r="U29" s="316"/>
      <c r="V29" s="306">
        <v>-3611.4564406617574</v>
      </c>
      <c r="W29" s="306">
        <f t="shared" ref="W29:W30" si="26">L29/2.4349</f>
        <v>-621.79144934083536</v>
      </c>
    </row>
    <row r="30" spans="1:27" x14ac:dyDescent="0.3">
      <c r="B30" s="318" t="str">
        <f>CHOOSE(LanguagePage!$C$301,LanguagePage!$C337,LanguagePage!$D337)</f>
        <v>Процентные расходы по договорам аренды (P&amp;L)</v>
      </c>
      <c r="C30" s="306">
        <v>0</v>
      </c>
      <c r="D30" s="306">
        <v>0</v>
      </c>
      <c r="E30" s="306">
        <v>0</v>
      </c>
      <c r="F30" s="306">
        <v>0</v>
      </c>
      <c r="G30" s="306">
        <v>0</v>
      </c>
      <c r="H30" s="306">
        <v>0</v>
      </c>
      <c r="I30" s="306">
        <v>0</v>
      </c>
      <c r="J30" s="316"/>
      <c r="K30" s="306">
        <v>-37192</v>
      </c>
      <c r="L30" s="306">
        <v>-38591</v>
      </c>
      <c r="M30" s="313"/>
      <c r="N30" s="306">
        <v>0</v>
      </c>
      <c r="O30" s="306">
        <v>0</v>
      </c>
      <c r="P30" s="306">
        <v>0</v>
      </c>
      <c r="Q30" s="306">
        <v>0</v>
      </c>
      <c r="R30" s="306">
        <v>0</v>
      </c>
      <c r="S30" s="306">
        <v>0</v>
      </c>
      <c r="T30" s="306">
        <v>0</v>
      </c>
      <c r="U30" s="316"/>
      <c r="V30" s="306">
        <v>-17783.303050588122</v>
      </c>
      <c r="W30" s="306">
        <f t="shared" si="26"/>
        <v>-15849.110846441334</v>
      </c>
    </row>
    <row r="31" spans="1:27" x14ac:dyDescent="0.3">
      <c r="B31" s="436"/>
      <c r="C31" s="432"/>
      <c r="D31" s="432"/>
      <c r="E31" s="432"/>
      <c r="F31" s="432"/>
      <c r="G31" s="432"/>
      <c r="H31" s="432"/>
      <c r="I31" s="432"/>
      <c r="J31" s="433"/>
      <c r="K31" s="432"/>
      <c r="L31" s="432"/>
      <c r="M31" s="304"/>
      <c r="N31" s="432"/>
      <c r="O31" s="432"/>
      <c r="P31" s="432"/>
      <c r="Q31" s="432"/>
      <c r="R31" s="432"/>
      <c r="S31" s="432"/>
      <c r="T31" s="432"/>
      <c r="U31" s="433"/>
      <c r="V31" s="432"/>
      <c r="W31" s="432"/>
    </row>
    <row r="32" spans="1:27" x14ac:dyDescent="0.3">
      <c r="B32" s="299" t="str">
        <f>CHOOSE(LanguagePage!$C$301,LanguagePage!$C339,LanguagePage!$D339)</f>
        <v>Проценты</v>
      </c>
      <c r="C32" s="300">
        <f>C28+C29+C30</f>
        <v>-48362</v>
      </c>
      <c r="D32" s="300">
        <f t="shared" ref="D32:L32" si="27">D28+D29+D30</f>
        <v>-104293</v>
      </c>
      <c r="E32" s="300">
        <f t="shared" si="27"/>
        <v>-136389</v>
      </c>
      <c r="F32" s="300">
        <f t="shared" si="27"/>
        <v>-135769</v>
      </c>
      <c r="G32" s="300">
        <f t="shared" si="27"/>
        <v>-131295</v>
      </c>
      <c r="H32" s="300">
        <f t="shared" si="27"/>
        <v>-127949</v>
      </c>
      <c r="I32" s="300">
        <f t="shared" si="27"/>
        <v>-122095</v>
      </c>
      <c r="J32" s="336"/>
      <c r="K32" s="301">
        <f>K28+K29+K30</f>
        <v>-165141</v>
      </c>
      <c r="L32" s="300">
        <f t="shared" si="27"/>
        <v>-160686</v>
      </c>
      <c r="M32" s="378"/>
      <c r="N32" s="300">
        <f>N28+N29+N30</f>
        <v>-40811.814345991559</v>
      </c>
      <c r="O32" s="300">
        <f t="shared" ref="O32:V32" si="28">O28+O29+O30</f>
        <v>-65739.362178230556</v>
      </c>
      <c r="P32" s="300">
        <f t="shared" si="28"/>
        <v>-68588.886095046517</v>
      </c>
      <c r="Q32" s="300">
        <f t="shared" si="28"/>
        <v>-70281.084998447041</v>
      </c>
      <c r="R32" s="300">
        <f t="shared" si="28"/>
        <v>-64467.740351566339</v>
      </c>
      <c r="S32" s="300">
        <f t="shared" si="28"/>
        <v>-61178.636320168305</v>
      </c>
      <c r="T32" s="300">
        <f t="shared" ref="T32" si="29">T28+T29+T30</f>
        <v>-50143.743069530581</v>
      </c>
      <c r="U32" s="336"/>
      <c r="V32" s="300">
        <f t="shared" si="28"/>
        <v>-78961.93937075643</v>
      </c>
      <c r="W32" s="300">
        <f>W28+W29+W30</f>
        <v>-65992.853915971908</v>
      </c>
    </row>
    <row r="33" spans="2:23" x14ac:dyDescent="0.3">
      <c r="B33" s="419" t="str">
        <f>CHOOSE(LanguagePage!$C$301,LanguagePage!$C340,LanguagePage!$D340)</f>
        <v>EBITDA/Проценты</v>
      </c>
      <c r="C33" s="424">
        <f t="shared" ref="C33:I33" si="30">C$8/-C32</f>
        <v>3.2984161118233324</v>
      </c>
      <c r="D33" s="424">
        <f t="shared" si="30"/>
        <v>2.1236036934405953</v>
      </c>
      <c r="E33" s="424">
        <f t="shared" si="30"/>
        <v>1.8874176069917663</v>
      </c>
      <c r="F33" s="424">
        <f t="shared" si="30"/>
        <v>2.737620517202012</v>
      </c>
      <c r="G33" s="424">
        <f t="shared" si="30"/>
        <v>3.0171065158612285</v>
      </c>
      <c r="H33" s="424">
        <f t="shared" si="30"/>
        <v>2.389756856247411</v>
      </c>
      <c r="I33" s="424">
        <f t="shared" si="30"/>
        <v>3.578443015684508</v>
      </c>
      <c r="J33" s="425"/>
      <c r="K33" s="424">
        <f>K$8/-K32</f>
        <v>2.6313695569240831</v>
      </c>
      <c r="L33" s="424">
        <f>L$8/-L32</f>
        <v>3.5856639657468605</v>
      </c>
      <c r="M33" s="313"/>
      <c r="N33" s="424">
        <f t="shared" ref="N33:S33" si="31">N$8/-N32</f>
        <v>3.2984161118233328</v>
      </c>
      <c r="O33" s="424">
        <f t="shared" si="31"/>
        <v>2.1236036934405953</v>
      </c>
      <c r="P33" s="424">
        <f t="shared" si="31"/>
        <v>1.8874176069917663</v>
      </c>
      <c r="Q33" s="424">
        <f t="shared" si="31"/>
        <v>2.7376205172020125</v>
      </c>
      <c r="R33" s="424">
        <f t="shared" si="31"/>
        <v>3.0171065158612285</v>
      </c>
      <c r="S33" s="424">
        <f t="shared" si="31"/>
        <v>2.3897568562474114</v>
      </c>
      <c r="T33" s="424">
        <f>T$8/-T32</f>
        <v>3.578443015684508</v>
      </c>
      <c r="U33" s="425"/>
      <c r="V33" s="424">
        <f>V$8/-V32</f>
        <v>2.6313695569240827</v>
      </c>
      <c r="W33" s="424">
        <f>W$8/-W32</f>
        <v>3.5856639657468605</v>
      </c>
    </row>
  </sheetData>
  <mergeCells count="5">
    <mergeCell ref="B2:E2"/>
    <mergeCell ref="C4:L4"/>
    <mergeCell ref="K5:L5"/>
    <mergeCell ref="C5:I5"/>
    <mergeCell ref="N4:W4"/>
  </mergeCells>
  <hyperlinks>
    <hyperlink ref="B4" location="Contents!A1" display="Contents!A1" xr:uid="{00000000-0004-0000-0B00-000000000000}"/>
    <hyperlink ref="W2" location="Contents!A1" display="Contents!A1" xr:uid="{00000000-0004-0000-0B00-000001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U34"/>
  <sheetViews>
    <sheetView showGridLines="0" zoomScale="90" zoomScaleNormal="90" workbookViewId="0">
      <pane ySplit="6" topLeftCell="A7" activePane="bottomLeft" state="frozen"/>
      <selection activeCell="D28" sqref="D28"/>
      <selection pane="bottomLeft"/>
    </sheetView>
  </sheetViews>
  <sheetFormatPr defaultColWidth="9.109375" defaultRowHeight="13.8" x14ac:dyDescent="0.3"/>
  <cols>
    <col min="1" max="1" width="6" style="36" customWidth="1"/>
    <col min="2" max="2" width="50.6640625" style="2" customWidth="1"/>
    <col min="3" max="6" width="11" style="7" customWidth="1"/>
    <col min="7" max="7" width="3.77734375" style="7" customWidth="1"/>
    <col min="8" max="9" width="11" style="7" customWidth="1"/>
    <col min="10" max="10" width="9.109375" style="1"/>
    <col min="11" max="14" width="11.109375" style="1" customWidth="1"/>
    <col min="15" max="15" width="3.77734375" style="1" customWidth="1"/>
    <col min="16" max="17" width="11" style="1" customWidth="1"/>
    <col min="18" max="18" width="6.6640625" style="1" customWidth="1"/>
    <col min="19" max="16384" width="9.109375" style="1"/>
  </cols>
  <sheetData>
    <row r="1" spans="1:17" ht="14.1" customHeight="1" x14ac:dyDescent="0.3">
      <c r="B1" s="123"/>
      <c r="C1" s="123"/>
      <c r="D1" s="123"/>
      <c r="E1" s="123"/>
      <c r="F1" s="123"/>
      <c r="G1" s="123"/>
      <c r="H1" s="123"/>
      <c r="I1" s="123"/>
      <c r="K1" s="27"/>
    </row>
    <row r="2" spans="1:17" ht="14.1" customHeight="1" x14ac:dyDescent="0.3">
      <c r="B2" s="465" t="str">
        <f>IF(LanguagePage!$C$308=1,LanguagePage!$C$298,LanguagePage!$C$299)</f>
        <v>ДОЛГОВАЯ НАГРУЗКА</v>
      </c>
      <c r="C2" s="465"/>
      <c r="D2" s="465"/>
      <c r="E2" s="465"/>
      <c r="F2" s="465"/>
      <c r="G2" s="465"/>
      <c r="H2" s="465"/>
      <c r="I2" s="292"/>
      <c r="J2" s="257"/>
      <c r="K2" s="446"/>
      <c r="Q2" s="211" t="str">
        <f>Contents!$B$2</f>
        <v>СОДЕРЖАНИЕ</v>
      </c>
    </row>
    <row r="3" spans="1:17" ht="14.1" customHeight="1" x14ac:dyDescent="0.3">
      <c r="C3" s="1"/>
      <c r="D3" s="1"/>
      <c r="E3" s="1"/>
      <c r="F3" s="1"/>
      <c r="G3" s="1"/>
      <c r="H3" s="1"/>
      <c r="I3" s="1"/>
    </row>
    <row r="4" spans="1:17" ht="14.1" customHeight="1" x14ac:dyDescent="0.3">
      <c r="B4" s="210" t="str">
        <f>Contents!$B$4</f>
        <v>Выбор языка: РУССКИЙ</v>
      </c>
      <c r="C4" s="474" t="str">
        <f>CHOOSE(LanguagePage!$C$272,LanguagePage!$D$273,LanguagePage!$D$274)</f>
        <v>тыс. BYN</v>
      </c>
      <c r="D4" s="475"/>
      <c r="E4" s="475"/>
      <c r="F4" s="475"/>
      <c r="G4" s="475"/>
      <c r="H4" s="475"/>
      <c r="I4" s="476"/>
      <c r="K4" s="474" t="str">
        <f>CHOOSE(LanguagePage!$C$308,LanguagePage!E309,LanguagePage!E310)</f>
        <v>тыс. USD</v>
      </c>
      <c r="L4" s="475"/>
      <c r="M4" s="475"/>
      <c r="N4" s="475"/>
      <c r="O4" s="475"/>
      <c r="P4" s="475"/>
      <c r="Q4" s="476"/>
    </row>
    <row r="5" spans="1:17" ht="14.1" customHeight="1" x14ac:dyDescent="0.3">
      <c r="C5" s="479" t="s">
        <v>721</v>
      </c>
      <c r="D5" s="479"/>
      <c r="E5" s="479"/>
      <c r="F5" s="479"/>
      <c r="G5" s="1"/>
      <c r="H5" s="479" t="s">
        <v>722</v>
      </c>
      <c r="I5" s="479"/>
      <c r="K5" s="26">
        <v>1.8968</v>
      </c>
      <c r="L5" s="26">
        <v>1.9898</v>
      </c>
      <c r="M5" s="26">
        <v>2.0432999999999999</v>
      </c>
      <c r="N5" s="26">
        <v>2.4007999999999998</v>
      </c>
      <c r="P5" s="26">
        <v>2.0432999999999999</v>
      </c>
      <c r="Q5" s="26">
        <v>2.4007999999999998</v>
      </c>
    </row>
    <row r="6" spans="1:17" x14ac:dyDescent="0.3">
      <c r="B6" s="8"/>
      <c r="C6" s="14" t="str">
        <f>CHOOSE(LanguagePage!$C$308,LanguagePage!D$312,LanguagePage!D$313)</f>
        <v>1П 2017 LTM</v>
      </c>
      <c r="D6" s="14" t="str">
        <f>CHOOSE(LanguagePage!$C$308,LanguagePage!E$312,LanguagePage!E$313)</f>
        <v>1П 2018 LTM</v>
      </c>
      <c r="E6" s="14" t="str">
        <f>CHOOSE(LanguagePage!$C$308,LanguagePage!F$312,LanguagePage!F$313)</f>
        <v>1П 2019 LTM</v>
      </c>
      <c r="F6" s="14" t="str">
        <f>CHOOSE(LanguagePage!$C$308,LanguagePage!G$312,LanguagePage!G$313)</f>
        <v>1П 2020 LTM</v>
      </c>
      <c r="G6" s="1"/>
      <c r="H6" s="256" t="str">
        <f>CHOOSE(LanguagePage!$C$308,LanguagePage!H$312,LanguagePage!H$313)</f>
        <v>1П 2019 LTM</v>
      </c>
      <c r="I6" s="256" t="str">
        <f>CHOOSE(LanguagePage!$C$308,LanguagePage!I$312,LanguagePage!I$313)</f>
        <v>1П 2020 LTM</v>
      </c>
      <c r="K6" s="14" t="str">
        <f>$C$6</f>
        <v>1П 2017 LTM</v>
      </c>
      <c r="L6" s="14" t="str">
        <f>$D$6</f>
        <v>1П 2018 LTM</v>
      </c>
      <c r="M6" s="14" t="str">
        <f>$E$6</f>
        <v>1П 2019 LTM</v>
      </c>
      <c r="N6" s="14" t="str">
        <f>$F$6</f>
        <v>1П 2020 LTM</v>
      </c>
      <c r="P6" s="256" t="str">
        <f>$H$6</f>
        <v>1П 2019 LTM</v>
      </c>
      <c r="Q6" s="256" t="str">
        <f>$I$6</f>
        <v>1П 2020 LTM</v>
      </c>
    </row>
    <row r="7" spans="1:17" s="36" customFormat="1" x14ac:dyDescent="0.3">
      <c r="B7" s="62"/>
      <c r="C7" s="63"/>
      <c r="D7" s="63"/>
      <c r="E7" s="63"/>
      <c r="F7" s="63"/>
      <c r="G7" s="1"/>
      <c r="H7" s="63"/>
      <c r="I7" s="63"/>
      <c r="K7" s="63"/>
    </row>
    <row r="8" spans="1:17" x14ac:dyDescent="0.3">
      <c r="A8" s="37"/>
      <c r="B8" s="346" t="str">
        <f>CHOOSE(LanguagePage!$C$308,LanguagePage!$C316,LanguagePage!$D316)</f>
        <v>EBITDA</v>
      </c>
      <c r="C8" s="323">
        <v>343164</v>
      </c>
      <c r="D8" s="323">
        <v>384994</v>
      </c>
      <c r="E8" s="324">
        <v>352814</v>
      </c>
      <c r="F8" s="323">
        <v>343714</v>
      </c>
      <c r="G8" s="304"/>
      <c r="H8" s="324">
        <v>478272</v>
      </c>
      <c r="I8" s="323">
        <v>474740</v>
      </c>
      <c r="J8" s="378"/>
      <c r="K8" s="323">
        <v>177873.76109665583</v>
      </c>
      <c r="L8" s="323">
        <v>194653</v>
      </c>
      <c r="M8" s="324">
        <v>167921.82056625737</v>
      </c>
      <c r="N8" s="323">
        <v>155587</v>
      </c>
      <c r="O8" s="304"/>
      <c r="P8" s="324">
        <v>227575.04276498224</v>
      </c>
      <c r="Q8" s="323">
        <v>215244</v>
      </c>
    </row>
    <row r="9" spans="1:17" ht="12.6" customHeight="1" x14ac:dyDescent="0.3">
      <c r="A9" s="37"/>
      <c r="B9" s="347"/>
      <c r="C9" s="325"/>
      <c r="D9" s="325"/>
      <c r="E9" s="326"/>
      <c r="F9" s="325"/>
      <c r="G9" s="304"/>
      <c r="H9" s="326"/>
      <c r="I9" s="325"/>
      <c r="J9" s="378"/>
      <c r="K9" s="325"/>
      <c r="L9" s="325"/>
      <c r="M9" s="326"/>
      <c r="N9" s="325"/>
      <c r="O9" s="304"/>
      <c r="P9" s="326"/>
      <c r="Q9" s="325"/>
    </row>
    <row r="10" spans="1:17" x14ac:dyDescent="0.3">
      <c r="A10" s="37"/>
      <c r="B10" s="434" t="str">
        <f>CHOOSE(LanguagePage!$C$308,LanguagePage!$C318,LanguagePage!$D318)</f>
        <v>Долгосрочный долг</v>
      </c>
      <c r="C10" s="385">
        <f>C11+C12</f>
        <v>882634</v>
      </c>
      <c r="D10" s="385">
        <f>D11+D12</f>
        <v>1264103</v>
      </c>
      <c r="E10" s="408">
        <f>E11+E12</f>
        <v>1114334</v>
      </c>
      <c r="F10" s="385">
        <f>F11+F12</f>
        <v>1320522</v>
      </c>
      <c r="G10" s="304"/>
      <c r="H10" s="408">
        <f>H11+H12+H13</f>
        <v>1403863</v>
      </c>
      <c r="I10" s="385">
        <f>I11+I12+I13</f>
        <v>1646684</v>
      </c>
      <c r="J10" s="378"/>
      <c r="K10" s="385">
        <f>K11+K12</f>
        <v>465327.92070856178</v>
      </c>
      <c r="L10" s="385">
        <f>L11+L12</f>
        <v>635291.48658156605</v>
      </c>
      <c r="M10" s="408">
        <f>M11+M12</f>
        <v>545359.95693241328</v>
      </c>
      <c r="N10" s="385">
        <f>N11+N12</f>
        <v>550034.15528157284</v>
      </c>
      <c r="O10" s="304"/>
      <c r="P10" s="408">
        <f>P11+P12+P13</f>
        <v>687056.72196936328</v>
      </c>
      <c r="Q10" s="385">
        <f>Q11+Q12+Q13</f>
        <v>685889.7034321893</v>
      </c>
    </row>
    <row r="11" spans="1:17" x14ac:dyDescent="0.3">
      <c r="A11" s="37"/>
      <c r="B11" s="318" t="str">
        <f>CHOOSE(LanguagePage!$C$308,LanguagePage!$C319,LanguagePage!$D319)</f>
        <v>Долгосрочные кредиты и займы</v>
      </c>
      <c r="C11" s="306">
        <v>808128</v>
      </c>
      <c r="D11" s="306">
        <v>1173930</v>
      </c>
      <c r="E11" s="307">
        <v>1070301</v>
      </c>
      <c r="F11" s="306">
        <v>1310951</v>
      </c>
      <c r="G11" s="304"/>
      <c r="H11" s="307">
        <v>1070301</v>
      </c>
      <c r="I11" s="306">
        <v>1310951</v>
      </c>
      <c r="J11" s="313"/>
      <c r="K11" s="306">
        <f>C11/K5</f>
        <v>426048.08097849006</v>
      </c>
      <c r="L11" s="306">
        <f>D11/L5</f>
        <v>589973.86672027339</v>
      </c>
      <c r="M11" s="307">
        <f>E11/M5</f>
        <v>523810.01321391866</v>
      </c>
      <c r="N11" s="306">
        <f>F11/N5</f>
        <v>546047.56747750752</v>
      </c>
      <c r="O11" s="304"/>
      <c r="P11" s="307">
        <f>H11/P5</f>
        <v>523810.01321391866</v>
      </c>
      <c r="Q11" s="306">
        <f>I11/Q5</f>
        <v>546047.56747750752</v>
      </c>
    </row>
    <row r="12" spans="1:17" x14ac:dyDescent="0.3">
      <c r="A12" s="37"/>
      <c r="B12" s="318" t="str">
        <f>CHOOSE(LanguagePage!$C$308,LanguagePage!$C320,LanguagePage!$D320)</f>
        <v xml:space="preserve">Долгосрочные обязательства по финансовой аренде </v>
      </c>
      <c r="C12" s="306">
        <v>74506</v>
      </c>
      <c r="D12" s="306">
        <v>90173</v>
      </c>
      <c r="E12" s="307">
        <v>44033</v>
      </c>
      <c r="F12" s="306">
        <v>9571</v>
      </c>
      <c r="G12" s="304"/>
      <c r="H12" s="307">
        <v>44033</v>
      </c>
      <c r="I12" s="306">
        <v>9571</v>
      </c>
      <c r="J12" s="313"/>
      <c r="K12" s="306">
        <f>C12/K5</f>
        <v>39279.839730071697</v>
      </c>
      <c r="L12" s="306">
        <f>D12/L5</f>
        <v>45317.619861292595</v>
      </c>
      <c r="M12" s="307">
        <f>E12/M5</f>
        <v>21549.943718494593</v>
      </c>
      <c r="N12" s="306">
        <f>F12/N5</f>
        <v>3986.587804065312</v>
      </c>
      <c r="O12" s="304"/>
      <c r="P12" s="307">
        <f>H12/P5</f>
        <v>21549.943718494593</v>
      </c>
      <c r="Q12" s="306">
        <f>I12/Q5</f>
        <v>3986.587804065312</v>
      </c>
    </row>
    <row r="13" spans="1:17" x14ac:dyDescent="0.3">
      <c r="A13" s="37"/>
      <c r="B13" s="318" t="str">
        <f>CHOOSE(LanguagePage!$C$308,LanguagePage!$C321,LanguagePage!$D321)</f>
        <v>Долгосрочные обязательства по правам аренды</v>
      </c>
      <c r="C13" s="306">
        <v>0</v>
      </c>
      <c r="D13" s="306">
        <v>0</v>
      </c>
      <c r="E13" s="307">
        <v>0</v>
      </c>
      <c r="F13" s="306">
        <v>0</v>
      </c>
      <c r="G13" s="304"/>
      <c r="H13" s="307">
        <v>289529</v>
      </c>
      <c r="I13" s="306">
        <v>326162</v>
      </c>
      <c r="J13" s="313"/>
      <c r="K13" s="306">
        <v>0</v>
      </c>
      <c r="L13" s="306">
        <v>0</v>
      </c>
      <c r="M13" s="306">
        <v>0</v>
      </c>
      <c r="N13" s="306">
        <v>0</v>
      </c>
      <c r="O13" s="304"/>
      <c r="P13" s="307">
        <f>H13/P5</f>
        <v>141696.76503695003</v>
      </c>
      <c r="Q13" s="306">
        <f>I13/Q5</f>
        <v>135855.54815061647</v>
      </c>
    </row>
    <row r="14" spans="1:17" x14ac:dyDescent="0.3">
      <c r="A14" s="37"/>
      <c r="B14" s="416"/>
      <c r="C14" s="327"/>
      <c r="D14" s="327"/>
      <c r="E14" s="328"/>
      <c r="F14" s="327"/>
      <c r="G14" s="327"/>
      <c r="H14" s="328"/>
      <c r="I14" s="327"/>
      <c r="J14" s="378"/>
      <c r="K14" s="327"/>
      <c r="L14" s="327"/>
      <c r="M14" s="328"/>
      <c r="N14" s="327"/>
      <c r="O14" s="304"/>
      <c r="P14" s="328"/>
      <c r="Q14" s="327"/>
    </row>
    <row r="15" spans="1:17" x14ac:dyDescent="0.3">
      <c r="A15" s="37"/>
      <c r="B15" s="434" t="str">
        <f>CHOOSE(LanguagePage!$C$308,LanguagePage!$C323,LanguagePage!$D323)</f>
        <v>Краткосрочный долг</v>
      </c>
      <c r="C15" s="385">
        <f>C16+C17</f>
        <v>386335</v>
      </c>
      <c r="D15" s="385">
        <f>D16+D17</f>
        <v>12490</v>
      </c>
      <c r="E15" s="408">
        <f>E16+E17</f>
        <v>97376</v>
      </c>
      <c r="F15" s="385">
        <f>F16+F17</f>
        <v>95538</v>
      </c>
      <c r="G15" s="325"/>
      <c r="H15" s="408">
        <f>H16+H17+H18</f>
        <v>213582</v>
      </c>
      <c r="I15" s="385">
        <f>I16+I17+I18</f>
        <v>208531</v>
      </c>
      <c r="J15" s="378"/>
      <c r="K15" s="385">
        <f>K16+K17</f>
        <v>203677.24588781106</v>
      </c>
      <c r="L15" s="385">
        <f>L16+L17</f>
        <v>6277.0127651020202</v>
      </c>
      <c r="M15" s="408">
        <f>M16+M17</f>
        <v>47656.242353056332</v>
      </c>
      <c r="N15" s="385">
        <f>N16+N17</f>
        <v>39794.235254915031</v>
      </c>
      <c r="O15" s="304"/>
      <c r="P15" s="408">
        <f>P16+P17+P18</f>
        <v>104527.96946116578</v>
      </c>
      <c r="Q15" s="385">
        <f>Q16+Q17+Q18</f>
        <v>86858.963678773755</v>
      </c>
    </row>
    <row r="16" spans="1:17" x14ac:dyDescent="0.3">
      <c r="A16" s="37"/>
      <c r="B16" s="318" t="str">
        <f>CHOOSE(LanguagePage!$C$308,LanguagePage!$C324,LanguagePage!$D324)</f>
        <v>Краткосрочные кредиты и займы</v>
      </c>
      <c r="C16" s="306">
        <v>373848</v>
      </c>
      <c r="D16" s="306">
        <v>0</v>
      </c>
      <c r="E16" s="307">
        <v>83027</v>
      </c>
      <c r="F16" s="306">
        <v>89704</v>
      </c>
      <c r="G16" s="308"/>
      <c r="H16" s="307">
        <v>83027</v>
      </c>
      <c r="I16" s="306">
        <v>89704</v>
      </c>
      <c r="J16" s="313"/>
      <c r="K16" s="306">
        <f>C16/K5</f>
        <v>197094.05314213413</v>
      </c>
      <c r="L16" s="306">
        <f>D16/L5</f>
        <v>0</v>
      </c>
      <c r="M16" s="307">
        <f>E16/M5</f>
        <v>40633.778691332649</v>
      </c>
      <c r="N16" s="306">
        <f>F16/N5</f>
        <v>37364.211929356883</v>
      </c>
      <c r="O16" s="304"/>
      <c r="P16" s="307">
        <f>H16/P5</f>
        <v>40633.778691332649</v>
      </c>
      <c r="Q16" s="306">
        <f>I16/Q5</f>
        <v>37364.211929356883</v>
      </c>
    </row>
    <row r="17" spans="1:21" x14ac:dyDescent="0.3">
      <c r="A17" s="37"/>
      <c r="B17" s="318" t="str">
        <f>CHOOSE(LanguagePage!$C$308,LanguagePage!$C325,LanguagePage!$D325)</f>
        <v xml:space="preserve">Краткосрочные обязательства по финансовой аренде </v>
      </c>
      <c r="C17" s="306">
        <v>12487</v>
      </c>
      <c r="D17" s="306">
        <v>12490</v>
      </c>
      <c r="E17" s="307">
        <v>14349</v>
      </c>
      <c r="F17" s="306">
        <v>5834</v>
      </c>
      <c r="G17" s="308"/>
      <c r="H17" s="307">
        <v>14349</v>
      </c>
      <c r="I17" s="306">
        <v>5834</v>
      </c>
      <c r="J17" s="313"/>
      <c r="K17" s="306">
        <f>C17/K5</f>
        <v>6583.192745676929</v>
      </c>
      <c r="L17" s="306">
        <f>D17/L5</f>
        <v>6277.0127651020202</v>
      </c>
      <c r="M17" s="307">
        <f>E17/M5</f>
        <v>7022.4636617236829</v>
      </c>
      <c r="N17" s="306">
        <f>F17/N5</f>
        <v>2430.0233255581475</v>
      </c>
      <c r="O17" s="304"/>
      <c r="P17" s="307">
        <f>H17/P5</f>
        <v>7022.4636617236829</v>
      </c>
      <c r="Q17" s="306">
        <f>I17/Q5</f>
        <v>2430.0233255581475</v>
      </c>
    </row>
    <row r="18" spans="1:21" x14ac:dyDescent="0.3">
      <c r="A18" s="37"/>
      <c r="B18" s="318" t="str">
        <f>CHOOSE(LanguagePage!$C$308,LanguagePage!$C326,LanguagePage!$D326)</f>
        <v>Краткосрочные обязательства по правам аренды</v>
      </c>
      <c r="C18" s="306"/>
      <c r="D18" s="306"/>
      <c r="E18" s="307"/>
      <c r="F18" s="306"/>
      <c r="G18" s="308"/>
      <c r="H18" s="307">
        <v>116206</v>
      </c>
      <c r="I18" s="306">
        <v>112993</v>
      </c>
      <c r="J18" s="313"/>
      <c r="K18" s="306"/>
      <c r="L18" s="306"/>
      <c r="M18" s="307"/>
      <c r="N18" s="306"/>
      <c r="O18" s="304"/>
      <c r="P18" s="307">
        <f>H18/P5</f>
        <v>56871.727108109437</v>
      </c>
      <c r="Q18" s="306">
        <f>I18/Q5</f>
        <v>47064.728423858716</v>
      </c>
    </row>
    <row r="19" spans="1:21" x14ac:dyDescent="0.3">
      <c r="A19" s="37"/>
      <c r="B19" s="305"/>
      <c r="C19" s="422"/>
      <c r="D19" s="422"/>
      <c r="E19" s="437"/>
      <c r="F19" s="422"/>
      <c r="G19" s="327"/>
      <c r="H19" s="437"/>
      <c r="I19" s="422"/>
      <c r="J19" s="378"/>
      <c r="K19" s="422"/>
      <c r="L19" s="422"/>
      <c r="M19" s="437"/>
      <c r="N19" s="422"/>
      <c r="O19" s="304"/>
      <c r="P19" s="437"/>
      <c r="Q19" s="422"/>
    </row>
    <row r="20" spans="1:21" x14ac:dyDescent="0.3">
      <c r="A20" s="37"/>
      <c r="B20" s="299" t="str">
        <f>CHOOSE(LanguagePage!$C$308,LanguagePage!$C328,LanguagePage!$D328)</f>
        <v>Долг</v>
      </c>
      <c r="C20" s="423">
        <f>C15+C10</f>
        <v>1268969</v>
      </c>
      <c r="D20" s="423">
        <f>D15+D10</f>
        <v>1276593</v>
      </c>
      <c r="E20" s="438">
        <f>E15+E10</f>
        <v>1211710</v>
      </c>
      <c r="F20" s="423">
        <f>F15+F10</f>
        <v>1416060</v>
      </c>
      <c r="G20" s="303"/>
      <c r="H20" s="438">
        <f>H15+H10</f>
        <v>1617445</v>
      </c>
      <c r="I20" s="423">
        <f>I15+I10</f>
        <v>1855215</v>
      </c>
      <c r="J20" s="378"/>
      <c r="K20" s="423">
        <f>K15+K10</f>
        <v>669005.16659637284</v>
      </c>
      <c r="L20" s="423">
        <f>L15+L10</f>
        <v>641568.49934666802</v>
      </c>
      <c r="M20" s="438">
        <f>M15+M10</f>
        <v>593016.1992854696</v>
      </c>
      <c r="N20" s="423">
        <f>N15+N10</f>
        <v>589828.39053648792</v>
      </c>
      <c r="O20" s="304"/>
      <c r="P20" s="438">
        <f>P15+P10</f>
        <v>791584.69143052911</v>
      </c>
      <c r="Q20" s="423">
        <f>Q15+Q10</f>
        <v>772748.66711096303</v>
      </c>
    </row>
    <row r="21" spans="1:21" x14ac:dyDescent="0.3">
      <c r="A21" s="37"/>
      <c r="B21" s="419" t="str">
        <f>CHOOSE(LanguagePage!$C$308,LanguagePage!$C329,LanguagePage!$D329)</f>
        <v>Долг/EBITDA</v>
      </c>
      <c r="C21" s="424">
        <f>C20/C$8</f>
        <v>3.6978500075765521</v>
      </c>
      <c r="D21" s="424">
        <f>D20/D$8</f>
        <v>3.3158776500412994</v>
      </c>
      <c r="E21" s="424">
        <f>E20/E$8</f>
        <v>3.4344158678510488</v>
      </c>
      <c r="F21" s="424">
        <f>F20/F$8</f>
        <v>4.1198787363913016</v>
      </c>
      <c r="G21" s="425"/>
      <c r="H21" s="424">
        <f>H20/H$8</f>
        <v>3.3818517496320086</v>
      </c>
      <c r="I21" s="424">
        <f>I20/I$8</f>
        <v>3.9078548257993848</v>
      </c>
      <c r="J21" s="313"/>
      <c r="K21" s="424">
        <f>K20/K$8</f>
        <v>3.761123408375215</v>
      </c>
      <c r="L21" s="424">
        <f>L20/L$8</f>
        <v>3.2959599869853946</v>
      </c>
      <c r="M21" s="424">
        <f>M20/M$8</f>
        <v>3.5315017267305149</v>
      </c>
      <c r="N21" s="439">
        <f>N20/N$8</f>
        <v>3.7909876180946216</v>
      </c>
      <c r="O21" s="304"/>
      <c r="P21" s="424">
        <f>P20/P$8</f>
        <v>3.4783457878902921</v>
      </c>
      <c r="Q21" s="439">
        <f>Q20/Q$8</f>
        <v>3.5901054947453264</v>
      </c>
    </row>
    <row r="22" spans="1:21" x14ac:dyDescent="0.3">
      <c r="A22" s="37"/>
      <c r="B22" s="417"/>
      <c r="C22" s="440"/>
      <c r="D22" s="440"/>
      <c r="E22" s="441"/>
      <c r="F22" s="440"/>
      <c r="G22" s="440"/>
      <c r="H22" s="441"/>
      <c r="I22" s="440"/>
      <c r="J22" s="313"/>
      <c r="K22" s="412"/>
      <c r="L22" s="412"/>
      <c r="M22" s="413"/>
      <c r="N22" s="412"/>
      <c r="O22" s="304"/>
      <c r="P22" s="413"/>
      <c r="Q22" s="412"/>
      <c r="R22" s="2"/>
      <c r="S22" s="7"/>
      <c r="T22" s="2"/>
      <c r="U22" s="2"/>
    </row>
    <row r="23" spans="1:21" x14ac:dyDescent="0.3">
      <c r="A23" s="37"/>
      <c r="B23" s="305" t="str">
        <f>CHOOSE(LanguagePage!$C$308,LanguagePage!$C331,LanguagePage!$D331)</f>
        <v>Денежные средства и их эквиваленты</v>
      </c>
      <c r="C23" s="306">
        <v>42852</v>
      </c>
      <c r="D23" s="306">
        <v>130402</v>
      </c>
      <c r="E23" s="307">
        <v>194378</v>
      </c>
      <c r="F23" s="306">
        <v>241510</v>
      </c>
      <c r="G23" s="308"/>
      <c r="H23" s="307">
        <v>194378</v>
      </c>
      <c r="I23" s="306">
        <v>241510</v>
      </c>
      <c r="J23" s="313"/>
      <c r="K23" s="306">
        <v>22161.770790235831</v>
      </c>
      <c r="L23" s="306">
        <v>65535.229671323752</v>
      </c>
      <c r="M23" s="307">
        <v>95129.447462438198</v>
      </c>
      <c r="N23" s="306">
        <f>F23/N5</f>
        <v>100595.63478840387</v>
      </c>
      <c r="O23" s="304"/>
      <c r="P23" s="306">
        <f>H23/P5</f>
        <v>95129.447462438213</v>
      </c>
      <c r="Q23" s="306">
        <f>I23/Q5</f>
        <v>100595.63478840387</v>
      </c>
    </row>
    <row r="24" spans="1:21" x14ac:dyDescent="0.3">
      <c r="B24" s="435"/>
      <c r="C24" s="426"/>
      <c r="D24" s="426"/>
      <c r="E24" s="427"/>
      <c r="F24" s="426"/>
      <c r="G24" s="426"/>
      <c r="H24" s="427"/>
      <c r="I24" s="426"/>
      <c r="J24" s="304"/>
      <c r="K24" s="304"/>
      <c r="L24" s="304"/>
      <c r="M24" s="386"/>
      <c r="N24" s="442"/>
      <c r="O24" s="304"/>
      <c r="P24" s="386"/>
      <c r="Q24" s="442"/>
    </row>
    <row r="25" spans="1:21" x14ac:dyDescent="0.3">
      <c r="B25" s="299" t="str">
        <f>CHOOSE(LanguagePage!$C$308,LanguagePage!$C332,LanguagePage!$D332)</f>
        <v>Чистый долг</v>
      </c>
      <c r="C25" s="300">
        <f>C20-C23</f>
        <v>1226117</v>
      </c>
      <c r="D25" s="300">
        <f>D20-D23</f>
        <v>1146191</v>
      </c>
      <c r="E25" s="301">
        <f>E20-E23</f>
        <v>1017332</v>
      </c>
      <c r="F25" s="300">
        <f>F20-F23</f>
        <v>1174550</v>
      </c>
      <c r="G25" s="303"/>
      <c r="H25" s="301">
        <f>H20-H23</f>
        <v>1423067</v>
      </c>
      <c r="I25" s="300">
        <f>I20-I23</f>
        <v>1613705</v>
      </c>
      <c r="J25" s="378"/>
      <c r="K25" s="300">
        <f>K20-K23</f>
        <v>646843.39580613701</v>
      </c>
      <c r="L25" s="300">
        <f>L20-L23</f>
        <v>576033.26967534423</v>
      </c>
      <c r="M25" s="301">
        <f>M20-M23</f>
        <v>497886.7518230314</v>
      </c>
      <c r="N25" s="300">
        <f>N20-N23</f>
        <v>489232.75574808405</v>
      </c>
      <c r="O25" s="304"/>
      <c r="P25" s="301">
        <f>P20-P23</f>
        <v>696455.24396809086</v>
      </c>
      <c r="Q25" s="300">
        <f>Q20-Q23</f>
        <v>672153.03232255916</v>
      </c>
    </row>
    <row r="26" spans="1:21" x14ac:dyDescent="0.3">
      <c r="B26" s="419" t="str">
        <f>CHOOSE(LanguagePage!$C$308,LanguagePage!$C333,LanguagePage!$D333)</f>
        <v>Чистый долг/EBITDA</v>
      </c>
      <c r="C26" s="424">
        <f>C25/C$8</f>
        <v>3.5729767691249665</v>
      </c>
      <c r="D26" s="424">
        <f>D25/D$8</f>
        <v>2.9771658779097856</v>
      </c>
      <c r="E26" s="424">
        <f>E25/E$8</f>
        <v>2.8834796805115444</v>
      </c>
      <c r="F26" s="424">
        <f>F25/F$8</f>
        <v>3.4172306045142182</v>
      </c>
      <c r="G26" s="425"/>
      <c r="H26" s="424">
        <f>H25/H$8</f>
        <v>2.9754344807975377</v>
      </c>
      <c r="I26" s="424">
        <f>I25/I$8</f>
        <v>3.3991342629649912</v>
      </c>
      <c r="J26" s="313"/>
      <c r="K26" s="424">
        <f>K25/K$8</f>
        <v>3.6365307160433016</v>
      </c>
      <c r="L26" s="424">
        <f>L25/L$8</f>
        <v>2.9592827733214708</v>
      </c>
      <c r="M26" s="424">
        <f>M25/M$8</f>
        <v>2.9649913879213741</v>
      </c>
      <c r="N26" s="424">
        <f>N25/N$8</f>
        <v>3.1444320910364238</v>
      </c>
      <c r="O26" s="304"/>
      <c r="P26" s="424">
        <f>P25/P$8</f>
        <v>3.0603322557092665</v>
      </c>
      <c r="Q26" s="439">
        <f>Q25/Q$8</f>
        <v>3.1227492163431227</v>
      </c>
    </row>
    <row r="27" spans="1:21" x14ac:dyDescent="0.3">
      <c r="B27" s="435"/>
      <c r="C27" s="430"/>
      <c r="D27" s="430"/>
      <c r="E27" s="421"/>
      <c r="F27" s="430"/>
      <c r="G27" s="430"/>
      <c r="H27" s="421"/>
      <c r="I27" s="430"/>
      <c r="J27" s="431"/>
      <c r="K27" s="431"/>
      <c r="L27" s="431"/>
      <c r="M27" s="443"/>
      <c r="N27" s="431"/>
      <c r="O27" s="304"/>
      <c r="P27" s="443"/>
      <c r="Q27" s="444"/>
    </row>
    <row r="28" spans="1:21" x14ac:dyDescent="0.3">
      <c r="B28" s="318" t="str">
        <f>CHOOSE(LanguagePage!$C$308,LanguagePage!$C335,LanguagePage!$D335)</f>
        <v>Проценты по кредитам и займам (P&amp;L)</v>
      </c>
      <c r="C28" s="306">
        <v>-123870</v>
      </c>
      <c r="D28" s="306">
        <v>-121489</v>
      </c>
      <c r="E28" s="307">
        <v>-118745</v>
      </c>
      <c r="F28" s="307">
        <v>-116563</v>
      </c>
      <c r="G28" s="316"/>
      <c r="H28" s="307">
        <v>-118745</v>
      </c>
      <c r="I28" s="307">
        <v>-116563</v>
      </c>
      <c r="J28" s="313"/>
      <c r="K28" s="306">
        <v>-64275.430819124507</v>
      </c>
      <c r="L28" s="306">
        <v>-61460.658047102159</v>
      </c>
      <c r="M28" s="307">
        <v>-56506.072108409135</v>
      </c>
      <c r="N28" s="307">
        <v>-53336</v>
      </c>
      <c r="O28" s="304"/>
      <c r="P28" s="307">
        <v>-56506.072108409135</v>
      </c>
      <c r="Q28" s="307">
        <v>-53336</v>
      </c>
    </row>
    <row r="29" spans="1:21" x14ac:dyDescent="0.3">
      <c r="B29" s="318" t="str">
        <f>CHOOSE(LanguagePage!$C$308,LanguagePage!$C336,LanguagePage!$D336)</f>
        <v>Проценты по финансовой аренде (P&amp;L)</v>
      </c>
      <c r="C29" s="306">
        <v>-13300</v>
      </c>
      <c r="D29" s="306">
        <v>-12791</v>
      </c>
      <c r="E29" s="307">
        <v>-11957</v>
      </c>
      <c r="F29" s="307">
        <v>-3081</v>
      </c>
      <c r="G29" s="308"/>
      <c r="H29" s="307">
        <v>-11957</v>
      </c>
      <c r="I29" s="307">
        <v>-3081</v>
      </c>
      <c r="J29" s="313"/>
      <c r="K29" s="306">
        <v>-6898.2193001032028</v>
      </c>
      <c r="L29" s="306">
        <v>-6461.8608058917471</v>
      </c>
      <c r="M29" s="307">
        <v>-5688.9821188748138</v>
      </c>
      <c r="N29" s="307">
        <v>-1466</v>
      </c>
      <c r="O29" s="304"/>
      <c r="P29" s="307">
        <v>-5688.9821188748138</v>
      </c>
      <c r="Q29" s="307">
        <v>-1466</v>
      </c>
    </row>
    <row r="30" spans="1:21" x14ac:dyDescent="0.3">
      <c r="B30" s="318" t="str">
        <f>CHOOSE(LanguagePage!$C$308,LanguagePage!$C337,LanguagePage!$D337)</f>
        <v>Процентные расходы по договорам аренды (P&amp;L)</v>
      </c>
      <c r="C30" s="306">
        <v>0</v>
      </c>
      <c r="D30" s="306">
        <v>0</v>
      </c>
      <c r="E30" s="306">
        <v>0</v>
      </c>
      <c r="F30" s="306">
        <v>0</v>
      </c>
      <c r="G30" s="308"/>
      <c r="H30" s="307" t="str">
        <f>CHOOSE(LanguagePage!$C$308,LanguagePage!$C338,LanguagePage!$D338)</f>
        <v>н.д.</v>
      </c>
      <c r="I30" s="307">
        <v>-39209</v>
      </c>
      <c r="J30" s="313"/>
      <c r="K30" s="306">
        <v>0</v>
      </c>
      <c r="L30" s="306">
        <v>0</v>
      </c>
      <c r="M30" s="307">
        <v>0</v>
      </c>
      <c r="N30" s="306">
        <v>0</v>
      </c>
      <c r="O30" s="308"/>
      <c r="P30" s="307" t="str">
        <f>CHOOSE(LanguagePage!$C$308,LanguagePage!$C338,LanguagePage!$D338)</f>
        <v>н.д.</v>
      </c>
      <c r="Q30" s="307">
        <v>-17887</v>
      </c>
    </row>
    <row r="31" spans="1:21" x14ac:dyDescent="0.3">
      <c r="B31" s="436"/>
      <c r="C31" s="432"/>
      <c r="D31" s="432"/>
      <c r="E31" s="432"/>
      <c r="F31" s="432"/>
      <c r="G31" s="432"/>
      <c r="H31" s="432"/>
      <c r="I31" s="432"/>
      <c r="J31" s="304"/>
      <c r="K31" s="304"/>
      <c r="L31" s="304"/>
      <c r="M31" s="386"/>
      <c r="N31" s="304"/>
      <c r="O31" s="304"/>
      <c r="P31" s="432"/>
      <c r="Q31" s="432"/>
    </row>
    <row r="32" spans="1:21" x14ac:dyDescent="0.3">
      <c r="B32" s="299" t="str">
        <f>CHOOSE(LanguagePage!$C$308,LanguagePage!$C339,LanguagePage!$D339)</f>
        <v>Проценты</v>
      </c>
      <c r="C32" s="300">
        <f>C28+C29</f>
        <v>-137170</v>
      </c>
      <c r="D32" s="300">
        <f>D28+D29</f>
        <v>-134280</v>
      </c>
      <c r="E32" s="300">
        <f>E28+E29</f>
        <v>-130702</v>
      </c>
      <c r="F32" s="300">
        <f>F28+F29</f>
        <v>-119644</v>
      </c>
      <c r="G32" s="303"/>
      <c r="H32" s="300" t="str">
        <f>CHOOSE(LanguagePage!$C$308,LanguagePage!$C338,LanguagePage!$D338)</f>
        <v>н.д.</v>
      </c>
      <c r="I32" s="300">
        <f>I28+I29+I30</f>
        <v>-158853</v>
      </c>
      <c r="J32" s="378"/>
      <c r="K32" s="300">
        <f>K28+K29</f>
        <v>-71173.650119227706</v>
      </c>
      <c r="L32" s="300">
        <f>L28+L29</f>
        <v>-67922.518852993904</v>
      </c>
      <c r="M32" s="301">
        <f>M28+M29</f>
        <v>-62195.054227283952</v>
      </c>
      <c r="N32" s="300">
        <f>N28+N29</f>
        <v>-54802</v>
      </c>
      <c r="O32" s="304"/>
      <c r="P32" s="300" t="str">
        <f>CHOOSE(LanguagePage!$C$308,LanguagePage!$C338,LanguagePage!$D338)</f>
        <v>н.д.</v>
      </c>
      <c r="Q32" s="300">
        <f>Q28+Q29+Q30</f>
        <v>-72689</v>
      </c>
    </row>
    <row r="33" spans="2:17" x14ac:dyDescent="0.3">
      <c r="B33" s="419" t="str">
        <f>CHOOSE(LanguagePage!$C$308,LanguagePage!$C340,LanguagePage!$D340)</f>
        <v>EBITDA/Проценты</v>
      </c>
      <c r="C33" s="424">
        <f>C$8/-C32</f>
        <v>2.5017423634905591</v>
      </c>
      <c r="D33" s="424">
        <f>D$8/-D32</f>
        <v>2.867098599940423</v>
      </c>
      <c r="E33" s="424">
        <f>E$8/-E32</f>
        <v>2.6993772092240365</v>
      </c>
      <c r="F33" s="424">
        <f>F$8/-F32</f>
        <v>2.8728059911069508</v>
      </c>
      <c r="G33" s="425"/>
      <c r="H33" s="424" t="str">
        <f>CHOOSE(LanguagePage!$C$308,LanguagePage!$C338,LanguagePage!$D338)</f>
        <v>н.д.</v>
      </c>
      <c r="I33" s="424">
        <f>I$8/-I32</f>
        <v>2.9885491618036801</v>
      </c>
      <c r="J33" s="445"/>
      <c r="K33" s="424">
        <f>K$8/-K32</f>
        <v>2.4991518743058379</v>
      </c>
      <c r="L33" s="424">
        <f>L$8/-L32</f>
        <v>2.86580950304996</v>
      </c>
      <c r="M33" s="424">
        <f>M$8/-M32</f>
        <v>2.6999224078591255</v>
      </c>
      <c r="N33" s="424">
        <f>N$8/-N32</f>
        <v>2.8390752162329842</v>
      </c>
      <c r="O33" s="304"/>
      <c r="P33" s="424" t="str">
        <f>CHOOSE(LanguagePage!$C$308,LanguagePage!$C338,LanguagePage!$D338)</f>
        <v>н.д.</v>
      </c>
      <c r="Q33" s="424">
        <f>Q$8/-Q32</f>
        <v>2.9611633121930416</v>
      </c>
    </row>
    <row r="34" spans="2:17" x14ac:dyDescent="0.3">
      <c r="K34" s="294"/>
      <c r="L34" s="294"/>
      <c r="M34" s="294"/>
    </row>
  </sheetData>
  <mergeCells count="5">
    <mergeCell ref="B2:H2"/>
    <mergeCell ref="C4:I4"/>
    <mergeCell ref="K4:Q4"/>
    <mergeCell ref="H5:I5"/>
    <mergeCell ref="C5:F5"/>
  </mergeCells>
  <hyperlinks>
    <hyperlink ref="B4" location="Contents!A1" display="Contents!A1" xr:uid="{00000000-0004-0000-0C00-000000000000}"/>
    <hyperlink ref="Q2" location="Contents!A1" display="Contents!A1" xr:uid="{00000000-0004-0000-0C00-000001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pageSetUpPr autoPageBreaks="0"/>
  </sheetPr>
  <dimension ref="A1:P67"/>
  <sheetViews>
    <sheetView showGridLines="0" zoomScale="110" zoomScaleNormal="110" workbookViewId="0">
      <pane ySplit="6" topLeftCell="A7" activePane="bottomLeft" state="frozen"/>
      <selection activeCell="B1" sqref="B1:B65536"/>
      <selection pane="bottomLeft"/>
    </sheetView>
  </sheetViews>
  <sheetFormatPr defaultColWidth="9.109375" defaultRowHeight="13.8" x14ac:dyDescent="0.3"/>
  <cols>
    <col min="1" max="1" width="6" style="1" customWidth="1"/>
    <col min="2" max="2" width="76.77734375" style="2" customWidth="1"/>
    <col min="3" max="3" width="12.6640625" style="2" customWidth="1"/>
    <col min="4" max="9" width="9.88671875" style="1" customWidth="1"/>
    <col min="10" max="12" width="9.109375" style="1"/>
    <col min="13" max="13" width="6.6640625" style="1" customWidth="1"/>
    <col min="14" max="16384" width="9.109375" style="1"/>
  </cols>
  <sheetData>
    <row r="1" spans="1:10" ht="14.1" customHeight="1" x14ac:dyDescent="0.3">
      <c r="B1" s="123"/>
      <c r="C1" s="123"/>
      <c r="D1" s="123"/>
      <c r="E1" s="123"/>
      <c r="F1" s="123"/>
      <c r="G1" s="123"/>
    </row>
    <row r="2" spans="1:10" ht="14.1" customHeight="1" x14ac:dyDescent="0.3">
      <c r="B2" s="465" t="str">
        <f>IF(LanguagePage!$C$478=1,LanguagePage!$C$475,LanguagePage!$C$476)</f>
        <v>ОПЕРАЦИОННЫЕ РЕЗУЛЬТАТЫ</v>
      </c>
      <c r="C2" s="465"/>
      <c r="D2" s="465"/>
      <c r="E2" s="465"/>
      <c r="F2" s="465"/>
      <c r="I2" s="211" t="str">
        <f>Contents!$B$2</f>
        <v>СОДЕРЖАНИЕ</v>
      </c>
    </row>
    <row r="3" spans="1:10" ht="14.1" customHeight="1" x14ac:dyDescent="0.3"/>
    <row r="4" spans="1:10" ht="14.1" customHeight="1" x14ac:dyDescent="0.3">
      <c r="B4" s="210" t="str">
        <f>Contents!$B$4</f>
        <v>Выбор языка: РУССКИЙ</v>
      </c>
    </row>
    <row r="5" spans="1:10" ht="14.1" customHeight="1" x14ac:dyDescent="0.3"/>
    <row r="6" spans="1:10" ht="14.1" customHeight="1" x14ac:dyDescent="0.3">
      <c r="B6" s="124" t="str">
        <f>CHOOSE(LanguagePage!$C$478,LanguagePage!$C480,LanguagePage!$E480)</f>
        <v>Показатель</v>
      </c>
      <c r="C6" s="124" t="str">
        <f>CHOOSE(LanguagePage!$C$478,LanguagePage!$D480,LanguagePage!$F480)</f>
        <v>Ед. изм.</v>
      </c>
      <c r="D6" s="125">
        <f>CHOOSE(LanguagePage!$C$478,LanguagePage!G$480,LanguagePage!G$481)</f>
        <v>2014</v>
      </c>
      <c r="E6" s="125">
        <f>CHOOSE(LanguagePage!$C$478,LanguagePage!H$480,LanguagePage!H$481)</f>
        <v>2015</v>
      </c>
      <c r="F6" s="125">
        <f>CHOOSE(LanguagePage!$C$478,LanguagePage!I$480,LanguagePage!I$481)</f>
        <v>2016</v>
      </c>
      <c r="G6" s="125">
        <f>CHOOSE(LanguagePage!$C$478,LanguagePage!J$480,LanguagePage!J$481)</f>
        <v>2017</v>
      </c>
      <c r="H6" s="125">
        <f>CHOOSE(LanguagePage!$C$478,LanguagePage!K$480,LanguagePage!K$481)</f>
        <v>2018</v>
      </c>
      <c r="I6" s="125">
        <f>CHOOSE(LanguagePage!$C$478,LanguagePage!L$480,LanguagePage!L$481)</f>
        <v>2019</v>
      </c>
      <c r="J6" s="125">
        <f>CHOOSE(LanguagePage!$C$478,LanguagePage!M$480,LanguagePage!M$481)</f>
        <v>2020</v>
      </c>
    </row>
    <row r="7" spans="1:10" ht="15" customHeight="1" x14ac:dyDescent="0.3">
      <c r="A7" s="126"/>
      <c r="B7" s="127" t="str">
        <f>CHOOSE(LanguagePage!$C$478,LanguagePage!$C482,LanguagePage!$E482)</f>
        <v>Количество продовольственных магазинов, на конец периода</v>
      </c>
      <c r="C7" s="127" t="str">
        <f>CHOOSE(LanguagePage!$C$478,LanguagePage!$D482,LanguagePage!$F482)</f>
        <v>-</v>
      </c>
      <c r="D7" s="241">
        <v>298</v>
      </c>
      <c r="E7" s="241">
        <v>438</v>
      </c>
      <c r="F7" s="241">
        <v>453</v>
      </c>
      <c r="G7" s="242">
        <v>500</v>
      </c>
      <c r="H7" s="242">
        <v>762</v>
      </c>
      <c r="I7" s="242">
        <v>870</v>
      </c>
      <c r="J7" s="242">
        <v>927</v>
      </c>
    </row>
    <row r="8" spans="1:10" ht="15" customHeight="1" x14ac:dyDescent="0.3">
      <c r="A8" s="126"/>
      <c r="B8" s="127" t="str">
        <f>CHOOSE(LanguagePage!$C$478,LanguagePage!$C485,LanguagePage!$E485)</f>
        <v>Торговая площадь продовольственных магазинов, на конец периода</v>
      </c>
      <c r="C8" s="127" t="str">
        <f>CHOOSE(LanguagePage!$C$478,LanguagePage!$D485,LanguagePage!$F485)</f>
        <v>тыс. кв.м.</v>
      </c>
      <c r="D8" s="243">
        <v>192.5</v>
      </c>
      <c r="E8" s="243">
        <v>250.6</v>
      </c>
      <c r="F8" s="243">
        <v>270.7</v>
      </c>
      <c r="G8" s="243">
        <v>278.5</v>
      </c>
      <c r="H8" s="243">
        <v>320.10000000000002</v>
      </c>
      <c r="I8" s="243">
        <v>334.6</v>
      </c>
      <c r="J8" s="243">
        <v>345.77087999999998</v>
      </c>
    </row>
    <row r="9" spans="1:10" ht="15" customHeight="1" x14ac:dyDescent="0.3">
      <c r="A9" s="126"/>
      <c r="B9" s="127" t="str">
        <f>CHOOSE(LanguagePage!$C$478,LanguagePage!$C488,LanguagePage!$E488)</f>
        <v>Средняя торговая площадь 1 продовольственного магазина, на конец периода</v>
      </c>
      <c r="C9" s="127" t="str">
        <f>CHOOSE(LanguagePage!$C$478,LanguagePage!$D488,LanguagePage!$F488)</f>
        <v>кв.м.</v>
      </c>
      <c r="D9" s="243">
        <f>D8*1000/D7</f>
        <v>645.97315436241615</v>
      </c>
      <c r="E9" s="243">
        <f t="shared" ref="E9:G9" si="0">E8*1000/E7</f>
        <v>572.14611872146122</v>
      </c>
      <c r="F9" s="243">
        <f t="shared" si="0"/>
        <v>597.57174392935985</v>
      </c>
      <c r="G9" s="243">
        <f t="shared" si="0"/>
        <v>557</v>
      </c>
      <c r="H9" s="243">
        <f t="shared" ref="H9" si="1">H8*1000/H7</f>
        <v>420.0787401574803</v>
      </c>
      <c r="I9" s="243">
        <f t="shared" ref="I9" si="2">I8*1000/I7</f>
        <v>384.59770114942529</v>
      </c>
      <c r="J9" s="243">
        <f>J8*1000/J7</f>
        <v>372.9998705501618</v>
      </c>
    </row>
    <row r="10" spans="1:10" ht="15" customHeight="1" x14ac:dyDescent="0.3">
      <c r="A10" s="126"/>
      <c r="B10" s="127" t="str">
        <f>CHOOSE(LanguagePage!$C$478,LanguagePage!$C490,LanguagePage!$E490)</f>
        <v>Торговая площадь продовольственных магазинов по форме собственности, на конец периода:</v>
      </c>
      <c r="C10" s="127"/>
      <c r="D10" s="217"/>
      <c r="E10" s="217"/>
      <c r="F10" s="217"/>
      <c r="G10" s="217"/>
      <c r="H10" s="217"/>
      <c r="I10" s="217"/>
    </row>
    <row r="11" spans="1:10" ht="15" customHeight="1" x14ac:dyDescent="0.3">
      <c r="A11" s="126"/>
      <c r="B11" s="169" t="str">
        <f>CHOOSE(LanguagePage!$C$478,LanguagePage!$C491,LanguagePage!$E491)</f>
        <v>аренда</v>
      </c>
      <c r="C11" s="127" t="str">
        <f>CHOOSE(LanguagePage!$C$478,LanguagePage!$D491,LanguagePage!$F491)</f>
        <v>%</v>
      </c>
      <c r="D11" s="244">
        <v>0.48</v>
      </c>
      <c r="E11" s="244">
        <v>0.54</v>
      </c>
      <c r="F11" s="244">
        <v>0.55000000000000004</v>
      </c>
      <c r="G11" s="244">
        <v>0.56100000000000005</v>
      </c>
      <c r="H11" s="244">
        <v>0.59599999999999997</v>
      </c>
      <c r="I11" s="244">
        <v>0.63100000000000001</v>
      </c>
      <c r="J11" s="244">
        <v>0.62806763831586965</v>
      </c>
    </row>
    <row r="12" spans="1:10" ht="15" customHeight="1" x14ac:dyDescent="0.3">
      <c r="A12" s="126"/>
      <c r="B12" s="169" t="str">
        <f>CHOOSE(LanguagePage!$C$478,LanguagePage!$C492,LanguagePage!$E492)</f>
        <v>собственность</v>
      </c>
      <c r="C12" s="127" t="str">
        <f>CHOOSE(LanguagePage!$C$478,LanguagePage!$D492,LanguagePage!$F492)</f>
        <v>%</v>
      </c>
      <c r="D12" s="244">
        <v>0.52</v>
      </c>
      <c r="E12" s="244">
        <v>0.46</v>
      </c>
      <c r="F12" s="244">
        <v>0.45</v>
      </c>
      <c r="G12" s="244">
        <v>0.439</v>
      </c>
      <c r="H12" s="244">
        <v>0.40400000000000003</v>
      </c>
      <c r="I12" s="244">
        <v>0.36899999999999999</v>
      </c>
      <c r="J12" s="244">
        <f>100%-J11</f>
        <v>0.37193236168413035</v>
      </c>
    </row>
    <row r="13" spans="1:10" ht="15" customHeight="1" x14ac:dyDescent="0.3">
      <c r="A13" s="126"/>
      <c r="B13" s="127" t="str">
        <f>CHOOSE(LanguagePage!$C$478,LanguagePage!$C493,LanguagePage!$E493)</f>
        <v>Торговая площадь в разрезе областей, на конец периода:</v>
      </c>
      <c r="C13" s="127" t="str">
        <f>CHOOSE(LanguagePage!$C$478,LanguagePage!$D493,LanguagePage!$F493)</f>
        <v/>
      </c>
      <c r="D13" s="243"/>
      <c r="E13" s="243"/>
      <c r="F13" s="243"/>
      <c r="G13" s="243"/>
      <c r="H13" s="243"/>
      <c r="I13" s="243"/>
    </row>
    <row r="14" spans="1:10" ht="15" customHeight="1" x14ac:dyDescent="0.3">
      <c r="A14" s="126"/>
      <c r="B14" s="169" t="str">
        <f>CHOOSE(LanguagePage!$C$478,LanguagePage!$C494,LanguagePage!$E494)</f>
        <v>Брестская область</v>
      </c>
      <c r="C14" s="127" t="str">
        <f>CHOOSE(LanguagePage!$C$478,LanguagePage!$D494,LanguagePage!$F494)</f>
        <v>%</v>
      </c>
      <c r="D14" s="244">
        <v>0.14000000000000001</v>
      </c>
      <c r="E14" s="244">
        <v>0.12027003303595653</v>
      </c>
      <c r="F14" s="244">
        <v>0.11116159657191407</v>
      </c>
      <c r="G14" s="244">
        <v>0.11192987370227925</v>
      </c>
      <c r="H14" s="244">
        <v>0.11301905829946614</v>
      </c>
      <c r="I14" s="244">
        <v>0.12186811065030573</v>
      </c>
      <c r="J14" s="244">
        <v>0.12906532209999869</v>
      </c>
    </row>
    <row r="15" spans="1:10" ht="15" customHeight="1" x14ac:dyDescent="0.3">
      <c r="A15" s="126"/>
      <c r="B15" s="169" t="str">
        <f>CHOOSE(LanguagePage!$C$478,LanguagePage!$C495,LanguagePage!$E495)</f>
        <v>Витебская область</v>
      </c>
      <c r="C15" s="127" t="str">
        <f>CHOOSE(LanguagePage!$C$478,LanguagePage!$D495,LanguagePage!$F495)</f>
        <v>%</v>
      </c>
      <c r="D15" s="244">
        <v>0.15</v>
      </c>
      <c r="E15" s="244">
        <v>0.12933896168148232</v>
      </c>
      <c r="F15" s="244">
        <v>0.12153820579597717</v>
      </c>
      <c r="G15" s="244">
        <v>0.11791617738419716</v>
      </c>
      <c r="H15" s="244">
        <v>0.12032874863724256</v>
      </c>
      <c r="I15" s="244">
        <v>0.12980002139115485</v>
      </c>
      <c r="J15" s="244">
        <v>0.13686013697856797</v>
      </c>
    </row>
    <row r="16" spans="1:10" ht="15" customHeight="1" x14ac:dyDescent="0.3">
      <c r="A16" s="126"/>
      <c r="B16" s="169" t="str">
        <f>CHOOSE(LanguagePage!$C$478,LanguagePage!$C496,LanguagePage!$E496)</f>
        <v>Гомельская область</v>
      </c>
      <c r="C16" s="127" t="str">
        <f>CHOOSE(LanguagePage!$C$478,LanguagePage!$D496,LanguagePage!$F496)</f>
        <v>%</v>
      </c>
      <c r="D16" s="244">
        <v>0.15</v>
      </c>
      <c r="E16" s="244">
        <v>0.17140394835538392</v>
      </c>
      <c r="F16" s="244">
        <v>0.15897379065772704</v>
      </c>
      <c r="G16" s="244">
        <v>0.1609514883164733</v>
      </c>
      <c r="H16" s="244">
        <v>0.14409773743217449</v>
      </c>
      <c r="I16" s="244">
        <v>0.13924001153652057</v>
      </c>
      <c r="J16" s="244">
        <v>0.13975980279195288</v>
      </c>
    </row>
    <row r="17" spans="1:16" ht="15" customHeight="1" x14ac:dyDescent="0.3">
      <c r="A17" s="126"/>
      <c r="B17" s="169" t="str">
        <f>CHOOSE(LanguagePage!$C$478,LanguagePage!$C497,LanguagePage!$E497)</f>
        <v>Гродненская область</v>
      </c>
      <c r="C17" s="127" t="str">
        <f>CHOOSE(LanguagePage!$C$478,LanguagePage!$D497,LanguagePage!$F497)</f>
        <v>%</v>
      </c>
      <c r="D17" s="245">
        <v>0.12</v>
      </c>
      <c r="E17" s="245">
        <v>0.13085909446368438</v>
      </c>
      <c r="F17" s="245">
        <v>0.13851979091631111</v>
      </c>
      <c r="G17" s="245">
        <v>0.13680517400500594</v>
      </c>
      <c r="H17" s="245">
        <v>0.12909412944399495</v>
      </c>
      <c r="I17" s="245">
        <v>0.13236507726321961</v>
      </c>
      <c r="J17" s="245">
        <v>0.12555817308849149</v>
      </c>
    </row>
    <row r="18" spans="1:16" ht="15" customHeight="1" x14ac:dyDescent="0.3">
      <c r="A18" s="126"/>
      <c r="B18" s="169" t="str">
        <f>CHOOSE(LanguagePage!$C$478,LanguagePage!$C498,LanguagePage!$E498)</f>
        <v>г. Минск</v>
      </c>
      <c r="C18" s="127" t="str">
        <f>CHOOSE(LanguagePage!$C$478,LanguagePage!$D498,LanguagePage!$F498)</f>
        <v>%</v>
      </c>
      <c r="D18" s="245">
        <v>0.17</v>
      </c>
      <c r="E18" s="245">
        <v>0.15718013373976603</v>
      </c>
      <c r="F18" s="245">
        <v>0.19151844258510187</v>
      </c>
      <c r="G18" s="245">
        <v>0.20080152548398564</v>
      </c>
      <c r="H18" s="245">
        <v>0.22895574513546355</v>
      </c>
      <c r="I18" s="245">
        <v>0.2061347967297891</v>
      </c>
      <c r="J18" s="245">
        <v>0.21184172594291348</v>
      </c>
    </row>
    <row r="19" spans="1:16" ht="15" customHeight="1" x14ac:dyDescent="0.3">
      <c r="A19" s="126"/>
      <c r="B19" s="169" t="str">
        <f>CHOOSE(LanguagePage!$C$478,LanguagePage!$C499,LanguagePage!$E499)</f>
        <v>Минская область</v>
      </c>
      <c r="C19" s="127" t="str">
        <f>CHOOSE(LanguagePage!$C$478,LanguagePage!$D499,LanguagePage!$F499)</f>
        <v>%</v>
      </c>
      <c r="D19" s="245">
        <v>0.14000000000000001</v>
      </c>
      <c r="E19" s="245">
        <v>0.15907930225506312</v>
      </c>
      <c r="F19" s="245">
        <v>0.15334404610184518</v>
      </c>
      <c r="G19" s="245">
        <v>0.14280225087891291</v>
      </c>
      <c r="H19" s="245">
        <v>0.1476338782280561</v>
      </c>
      <c r="I19" s="245">
        <v>0.15414329306458893</v>
      </c>
      <c r="J19" s="245">
        <v>0.15157149728745234</v>
      </c>
    </row>
    <row r="20" spans="1:16" x14ac:dyDescent="0.3">
      <c r="A20" s="126"/>
      <c r="B20" s="169" t="str">
        <f>CHOOSE(LanguagePage!$C$478,LanguagePage!$C500,LanguagePage!$E500)</f>
        <v>Могилевская область</v>
      </c>
      <c r="C20" s="127" t="str">
        <f>CHOOSE(LanguagePage!$C$478,LanguagePage!$D500,LanguagePage!$F500)</f>
        <v>%</v>
      </c>
      <c r="D20" s="245">
        <v>0.12</v>
      </c>
      <c r="E20" s="245">
        <v>0.13186852646866373</v>
      </c>
      <c r="F20" s="245">
        <v>0.12494412737112355</v>
      </c>
      <c r="G20" s="245">
        <v>0.12879351022914579</v>
      </c>
      <c r="H20" s="245">
        <v>0.11687070282360218</v>
      </c>
      <c r="I20" s="245">
        <v>0.11644868936442121</v>
      </c>
      <c r="J20" s="245">
        <v>0.10534334181062327</v>
      </c>
      <c r="M20" s="2"/>
      <c r="N20" s="7"/>
      <c r="O20" s="2"/>
      <c r="P20" s="2"/>
    </row>
    <row r="21" spans="1:16" x14ac:dyDescent="0.3">
      <c r="A21" s="126"/>
      <c r="B21" s="127" t="str">
        <f>CHOOSE(LanguagePage!$C$478,LanguagePage!$C501,LanguagePage!$E501)</f>
        <v>Количество населенных пунктов, на конец  периода</v>
      </c>
      <c r="C21" s="127" t="str">
        <f>CHOOSE(LanguagePage!$C$478,LanguagePage!$D501,LanguagePage!$F501)</f>
        <v>ед.</v>
      </c>
      <c r="D21" s="222">
        <v>67</v>
      </c>
      <c r="E21" s="222">
        <v>116</v>
      </c>
      <c r="F21" s="222">
        <v>123</v>
      </c>
      <c r="G21" s="222">
        <v>143</v>
      </c>
      <c r="H21" s="222">
        <v>297</v>
      </c>
      <c r="I21" s="222">
        <v>323</v>
      </c>
      <c r="J21" s="222">
        <v>328</v>
      </c>
      <c r="M21" s="128"/>
      <c r="N21" s="7"/>
      <c r="O21" s="128"/>
      <c r="P21" s="2"/>
    </row>
    <row r="22" spans="1:16" x14ac:dyDescent="0.3">
      <c r="A22" s="126"/>
      <c r="B22" s="127" t="str">
        <f>CHOOSE(LanguagePage!$C$478,LanguagePage!$C502,LanguagePage!$E502)</f>
        <v>Количество заказов онлайн, за период</v>
      </c>
      <c r="C22" s="127" t="str">
        <f>CHOOSE(LanguagePage!$C$478,LanguagePage!$D502,LanguagePage!$F502)</f>
        <v>млн заказов</v>
      </c>
      <c r="D22" s="246">
        <v>0.1</v>
      </c>
      <c r="E22" s="246">
        <v>1.8</v>
      </c>
      <c r="F22" s="246">
        <v>2.6</v>
      </c>
      <c r="G22" s="247">
        <v>3.1</v>
      </c>
      <c r="H22" s="247">
        <v>3.62</v>
      </c>
      <c r="I22" s="247">
        <v>3.6</v>
      </c>
      <c r="J22" s="247">
        <v>3.831979</v>
      </c>
      <c r="M22" s="6"/>
    </row>
    <row r="23" spans="1:16" s="3" customFormat="1" x14ac:dyDescent="0.3">
      <c r="B23" s="154" t="str">
        <f>CHOOSE(LanguagePage!$C$478,LanguagePage!$C503,LanguagePage!$E503)</f>
        <v>Количество сотрудников, на конец периода</v>
      </c>
      <c r="C23" s="127" t="str">
        <f>CHOOSE(LanguagePage!$C$478,LanguagePage!$D503,LanguagePage!$F503)</f>
        <v>тыс. чел.</v>
      </c>
      <c r="D23" s="218">
        <v>31.3</v>
      </c>
      <c r="E23" s="218">
        <v>33.4</v>
      </c>
      <c r="F23" s="218">
        <v>33.9</v>
      </c>
      <c r="G23" s="218">
        <v>34.241999999999997</v>
      </c>
      <c r="H23" s="218">
        <v>40.984999999999999</v>
      </c>
      <c r="I23" s="218">
        <v>37.646999999999998</v>
      </c>
      <c r="J23" s="218">
        <v>36.128</v>
      </c>
      <c r="K23" s="1"/>
    </row>
    <row r="24" spans="1:16" s="5" customFormat="1" x14ac:dyDescent="0.3">
      <c r="B24" s="154" t="str">
        <f>CHOOSE(LanguagePage!$C$478,LanguagePage!$C504,LanguagePage!$E504)</f>
        <v>Количество активных карт лояльности (1)</v>
      </c>
      <c r="C24" s="127" t="str">
        <f>CHOOSE(LanguagePage!$C$478,LanguagePage!$D504,LanguagePage!$F504)</f>
        <v>млн шт.</v>
      </c>
      <c r="D24" s="218">
        <v>1.57</v>
      </c>
      <c r="E24" s="218">
        <v>2.0099999999999998</v>
      </c>
      <c r="F24" s="218">
        <v>2.2599999999999998</v>
      </c>
      <c r="G24" s="218">
        <v>2.4700000000000002</v>
      </c>
      <c r="H24" s="218">
        <v>2.6</v>
      </c>
      <c r="I24" s="218">
        <v>2.5</v>
      </c>
      <c r="J24" s="218">
        <v>2.1</v>
      </c>
      <c r="K24" s="1"/>
    </row>
    <row r="25" spans="1:16" s="3" customFormat="1" x14ac:dyDescent="0.3">
      <c r="B25" s="154" t="str">
        <f>CHOOSE(LanguagePage!$C$478,LanguagePage!$C505,LanguagePage!$E505)</f>
        <v>Выручка , без НДС</v>
      </c>
      <c r="C25" s="127" t="str">
        <f>CHOOSE(LanguagePage!$C$478,LanguagePage!$D505,LanguagePage!$F505)</f>
        <v>млн BYN</v>
      </c>
      <c r="D25" s="222">
        <v>2407.9299999999998</v>
      </c>
      <c r="E25" s="222">
        <v>2986.5680000000002</v>
      </c>
      <c r="F25" s="222">
        <v>3638.76</v>
      </c>
      <c r="G25" s="222">
        <v>3932.8009999999999</v>
      </c>
      <c r="H25" s="222">
        <v>4458.3429999999998</v>
      </c>
      <c r="I25" s="222">
        <v>4917.57</v>
      </c>
      <c r="J25" s="222">
        <v>5287.2349999999997</v>
      </c>
      <c r="K25" s="1"/>
    </row>
    <row r="26" spans="1:16" s="3" customFormat="1" ht="14.4" thickBot="1" x14ac:dyDescent="0.35">
      <c r="B26" s="170" t="str">
        <f>CHOOSE(LanguagePage!$C$478,LanguagePage!$C506,LanguagePage!$E506)</f>
        <v>Темп роста LFL продаж</v>
      </c>
      <c r="C26" s="170" t="s">
        <v>271</v>
      </c>
      <c r="D26" s="248">
        <v>0.19700000000000001</v>
      </c>
      <c r="E26" s="248">
        <v>0</v>
      </c>
      <c r="F26" s="248">
        <v>1.9E-2</v>
      </c>
      <c r="G26" s="248">
        <v>1.0999999999999999E-2</v>
      </c>
      <c r="H26" s="248">
        <v>2.8000000000000001E-2</v>
      </c>
      <c r="I26" s="248">
        <v>-4.2999999999999997E-2</v>
      </c>
      <c r="J26" s="248">
        <v>3.5999999999999997E-2</v>
      </c>
      <c r="K26" s="1"/>
    </row>
    <row r="27" spans="1:16" s="3" customFormat="1" ht="14.4" thickTop="1" x14ac:dyDescent="0.3"/>
    <row r="28" spans="1:16" s="3" customFormat="1" x14ac:dyDescent="0.3">
      <c r="B28" s="171" t="str">
        <f>CHOOSE(LanguagePage!$C$478,LanguagePage!$C$508,LanguagePage!$E$508)</f>
        <v>1) Активная карта - карта, с использованием которой была совершена хотя бы 1 покупка в месяце, на конец которого производится расчет.</v>
      </c>
    </row>
    <row r="29" spans="1:16" s="3" customFormat="1" x14ac:dyDescent="0.3"/>
    <row r="30" spans="1:16" s="3" customFormat="1" x14ac:dyDescent="0.3"/>
    <row r="31" spans="1:16" s="3" customFormat="1" x14ac:dyDescent="0.3"/>
    <row r="32" spans="1:16"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pans="2:3" s="3" customFormat="1" x14ac:dyDescent="0.3"/>
    <row r="50" spans="2:3" s="3" customFormat="1" x14ac:dyDescent="0.3">
      <c r="B50" s="4"/>
      <c r="C50" s="4"/>
    </row>
    <row r="51" spans="2:3" s="3" customFormat="1" x14ac:dyDescent="0.3">
      <c r="B51" s="4"/>
      <c r="C51" s="4"/>
    </row>
    <row r="52" spans="2:3" s="3" customFormat="1" x14ac:dyDescent="0.3">
      <c r="B52" s="4"/>
      <c r="C52" s="4"/>
    </row>
    <row r="53" spans="2:3" s="3" customFormat="1" x14ac:dyDescent="0.3">
      <c r="B53" s="4"/>
      <c r="C53" s="4"/>
    </row>
    <row r="54" spans="2:3" s="3" customFormat="1" x14ac:dyDescent="0.3">
      <c r="B54" s="4"/>
      <c r="C54" s="4"/>
    </row>
    <row r="55" spans="2:3" s="3" customFormat="1" x14ac:dyDescent="0.3">
      <c r="B55" s="4"/>
      <c r="C55" s="4"/>
    </row>
    <row r="56" spans="2:3" s="3" customFormat="1" x14ac:dyDescent="0.3">
      <c r="B56" s="4"/>
      <c r="C56" s="4"/>
    </row>
    <row r="57" spans="2:3" s="3" customFormat="1" x14ac:dyDescent="0.3">
      <c r="B57" s="4"/>
      <c r="C57" s="4"/>
    </row>
    <row r="58" spans="2:3" s="3" customFormat="1" x14ac:dyDescent="0.3">
      <c r="B58" s="4"/>
      <c r="C58" s="4"/>
    </row>
    <row r="59" spans="2:3" s="3" customFormat="1" x14ac:dyDescent="0.3">
      <c r="B59" s="4"/>
      <c r="C59" s="4"/>
    </row>
    <row r="60" spans="2:3" s="3" customFormat="1" x14ac:dyDescent="0.3">
      <c r="B60" s="4"/>
      <c r="C60" s="4"/>
    </row>
    <row r="61" spans="2:3" s="3" customFormat="1" x14ac:dyDescent="0.3">
      <c r="B61" s="4"/>
      <c r="C61" s="4"/>
    </row>
    <row r="62" spans="2:3" s="3" customFormat="1" x14ac:dyDescent="0.3">
      <c r="B62" s="4"/>
      <c r="C62" s="4"/>
    </row>
    <row r="63" spans="2:3" s="3" customFormat="1" x14ac:dyDescent="0.3">
      <c r="B63" s="4"/>
      <c r="C63" s="4"/>
    </row>
    <row r="64" spans="2:3" s="3" customFormat="1" x14ac:dyDescent="0.3">
      <c r="B64" s="4"/>
      <c r="C64" s="4"/>
    </row>
    <row r="65" spans="2:3" s="3" customFormat="1" x14ac:dyDescent="0.3">
      <c r="B65" s="4"/>
      <c r="C65" s="4"/>
    </row>
    <row r="66" spans="2:3" s="3" customFormat="1" x14ac:dyDescent="0.3">
      <c r="B66" s="4"/>
      <c r="C66" s="4"/>
    </row>
    <row r="67" spans="2:3" s="3" customFormat="1" x14ac:dyDescent="0.3">
      <c r="B67" s="4"/>
      <c r="C67" s="4"/>
    </row>
  </sheetData>
  <mergeCells count="1">
    <mergeCell ref="B2:F2"/>
  </mergeCells>
  <hyperlinks>
    <hyperlink ref="B4" location="Contents!A1" display="Contents!A1" xr:uid="{00000000-0004-0000-0800-000000000000}"/>
    <hyperlink ref="I2" location="Contents!A1" display="Contents!A1" xr:uid="{00000000-0004-0000-0800-000001000000}"/>
  </hyperlink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Z594"/>
  <sheetViews>
    <sheetView showGridLines="0" topLeftCell="A460" zoomScale="80" zoomScaleNormal="80" workbookViewId="0">
      <selection activeCell="H474" sqref="H474"/>
    </sheetView>
  </sheetViews>
  <sheetFormatPr defaultRowHeight="14.4" x14ac:dyDescent="0.3"/>
  <cols>
    <col min="2" max="2" width="5.6640625" style="81" customWidth="1"/>
    <col min="3" max="3" width="63.6640625" customWidth="1"/>
    <col min="4" max="4" width="54.88671875" customWidth="1"/>
    <col min="5" max="5" width="15.5546875" customWidth="1"/>
    <col min="6" max="6" width="24" customWidth="1"/>
    <col min="7" max="7" width="18.5546875" customWidth="1"/>
    <col min="8" max="8" width="14.77734375" customWidth="1"/>
    <col min="9" max="9" width="18.33203125" customWidth="1"/>
    <col min="10" max="10" width="18.109375" customWidth="1"/>
  </cols>
  <sheetData>
    <row r="2" spans="1:10" x14ac:dyDescent="0.3">
      <c r="B2" s="81">
        <v>1</v>
      </c>
      <c r="C2" s="104" t="s">
        <v>0</v>
      </c>
    </row>
    <row r="3" spans="1:10" x14ac:dyDescent="0.3">
      <c r="C3" s="104" t="s">
        <v>144</v>
      </c>
    </row>
    <row r="5" spans="1:10" x14ac:dyDescent="0.3">
      <c r="C5" s="101">
        <f>IF(FY_IFRS_BS!B4="Выбор языка: РУССКИЙ",1,2)</f>
        <v>1</v>
      </c>
    </row>
    <row r="6" spans="1:10" x14ac:dyDescent="0.3">
      <c r="C6" s="85" t="s">
        <v>114</v>
      </c>
      <c r="D6" s="85" t="s">
        <v>42</v>
      </c>
      <c r="E6" s="85" t="s">
        <v>43</v>
      </c>
      <c r="F6" s="85"/>
      <c r="G6" s="85"/>
    </row>
    <row r="7" spans="1:10" x14ac:dyDescent="0.3">
      <c r="A7" s="15"/>
      <c r="B7" s="82"/>
      <c r="C7" s="84"/>
      <c r="D7" s="85" t="s">
        <v>548</v>
      </c>
      <c r="E7" s="85" t="s">
        <v>549</v>
      </c>
      <c r="F7" s="85"/>
      <c r="G7" s="85"/>
    </row>
    <row r="8" spans="1:10" x14ac:dyDescent="0.3">
      <c r="A8" s="15"/>
      <c r="B8" s="82"/>
      <c r="C8" s="84"/>
      <c r="D8" s="85"/>
      <c r="E8" s="85"/>
      <c r="F8" s="85"/>
      <c r="G8" s="85"/>
    </row>
    <row r="9" spans="1:10" x14ac:dyDescent="0.3">
      <c r="A9" s="15"/>
      <c r="B9" s="82"/>
      <c r="C9" s="84"/>
      <c r="D9" s="86">
        <v>2014</v>
      </c>
      <c r="E9" s="86">
        <v>2015</v>
      </c>
      <c r="F9" s="86">
        <v>2016</v>
      </c>
      <c r="G9" s="85">
        <v>2017</v>
      </c>
      <c r="H9" s="85">
        <v>2018</v>
      </c>
      <c r="I9" s="86">
        <v>2019</v>
      </c>
      <c r="J9" s="86">
        <v>2020</v>
      </c>
    </row>
    <row r="10" spans="1:10" x14ac:dyDescent="0.3">
      <c r="A10" s="15"/>
      <c r="B10" s="82"/>
      <c r="C10" s="84"/>
      <c r="D10" s="86">
        <v>2014</v>
      </c>
      <c r="E10" s="86">
        <v>2015</v>
      </c>
      <c r="F10" s="86">
        <v>2016</v>
      </c>
      <c r="G10" s="85">
        <v>2017</v>
      </c>
      <c r="H10" s="85">
        <v>2018</v>
      </c>
      <c r="I10" s="86">
        <v>2019</v>
      </c>
      <c r="J10" s="86">
        <v>2020</v>
      </c>
    </row>
    <row r="11" spans="1:10" x14ac:dyDescent="0.3">
      <c r="A11" s="15"/>
      <c r="B11" s="82"/>
      <c r="C11" s="13"/>
      <c r="D11" s="9"/>
      <c r="E11" s="28"/>
      <c r="F11" s="28"/>
      <c r="G11" s="28"/>
    </row>
    <row r="12" spans="1:10" x14ac:dyDescent="0.3">
      <c r="A12" s="15"/>
      <c r="B12" s="82"/>
      <c r="C12" s="34">
        <f>IF(HY_IFRS_BS!$B$4="Выбор языка: РУССКИЙ",1,2)</f>
        <v>1</v>
      </c>
      <c r="G12" s="28"/>
    </row>
    <row r="13" spans="1:10" x14ac:dyDescent="0.3">
      <c r="A13" s="15"/>
      <c r="B13" s="82"/>
      <c r="C13" s="94" t="s">
        <v>115</v>
      </c>
      <c r="D13" s="94" t="s">
        <v>42</v>
      </c>
      <c r="E13" s="94" t="s">
        <v>43</v>
      </c>
      <c r="F13" s="94"/>
      <c r="G13" s="28"/>
    </row>
    <row r="14" spans="1:10" x14ac:dyDescent="0.3">
      <c r="A14" s="15"/>
      <c r="B14" s="82"/>
      <c r="C14" s="93"/>
      <c r="D14" s="94" t="s">
        <v>548</v>
      </c>
      <c r="E14" s="94" t="s">
        <v>549</v>
      </c>
      <c r="F14" s="94"/>
      <c r="G14" s="28"/>
    </row>
    <row r="15" spans="1:10" x14ac:dyDescent="0.3">
      <c r="A15" s="15"/>
      <c r="B15" s="82"/>
      <c r="C15" s="93"/>
      <c r="D15" s="94"/>
      <c r="E15" s="94"/>
      <c r="F15" s="94"/>
      <c r="G15" s="28"/>
    </row>
    <row r="16" spans="1:10" x14ac:dyDescent="0.3">
      <c r="A16" s="15"/>
      <c r="B16" s="82"/>
      <c r="C16" s="93"/>
      <c r="D16" s="95" t="s">
        <v>111</v>
      </c>
      <c r="E16" s="95" t="s">
        <v>578</v>
      </c>
      <c r="F16" s="95" t="s">
        <v>723</v>
      </c>
      <c r="G16" s="28"/>
      <c r="H16" s="95" t="s">
        <v>758</v>
      </c>
    </row>
    <row r="17" spans="1:8" x14ac:dyDescent="0.3">
      <c r="A17" s="15"/>
      <c r="B17" s="82"/>
      <c r="C17" s="93"/>
      <c r="D17" s="95" t="s">
        <v>113</v>
      </c>
      <c r="E17" s="95" t="s">
        <v>579</v>
      </c>
      <c r="F17" s="95" t="s">
        <v>724</v>
      </c>
      <c r="G17" s="28"/>
      <c r="H17" s="95" t="s">
        <v>759</v>
      </c>
    </row>
    <row r="18" spans="1:8" x14ac:dyDescent="0.3">
      <c r="A18" s="15"/>
      <c r="B18" s="82"/>
      <c r="C18" s="13"/>
      <c r="D18" s="9"/>
      <c r="E18" s="28"/>
      <c r="F18" s="28"/>
      <c r="G18" s="28"/>
    </row>
    <row r="19" spans="1:8" x14ac:dyDescent="0.3">
      <c r="A19" s="15"/>
      <c r="B19" s="82"/>
      <c r="C19" s="29" t="s">
        <v>37</v>
      </c>
      <c r="D19" s="29" t="s">
        <v>145</v>
      </c>
    </row>
    <row r="20" spans="1:8" x14ac:dyDescent="0.3">
      <c r="A20" s="15"/>
      <c r="B20" s="82"/>
      <c r="C20" s="30" t="str">
        <f>""</f>
        <v/>
      </c>
      <c r="D20" s="30"/>
      <c r="E20" s="15"/>
      <c r="F20" s="15"/>
      <c r="G20" s="15"/>
    </row>
    <row r="21" spans="1:8" x14ac:dyDescent="0.3">
      <c r="A21" s="15"/>
      <c r="B21" s="82"/>
      <c r="C21" s="30" t="s">
        <v>1</v>
      </c>
      <c r="D21" s="30"/>
      <c r="E21" s="15"/>
      <c r="F21" s="15"/>
      <c r="G21" s="15"/>
    </row>
    <row r="22" spans="1:8" x14ac:dyDescent="0.3">
      <c r="A22" s="15"/>
      <c r="B22" s="82"/>
      <c r="C22" s="31" t="s">
        <v>2</v>
      </c>
      <c r="D22" s="31" t="s">
        <v>146</v>
      </c>
      <c r="E22" s="15"/>
      <c r="F22" s="15"/>
      <c r="G22" s="15"/>
    </row>
    <row r="23" spans="1:8" x14ac:dyDescent="0.3">
      <c r="A23" s="15"/>
      <c r="B23" s="82"/>
      <c r="C23" s="31" t="s">
        <v>654</v>
      </c>
      <c r="D23" s="31" t="s">
        <v>653</v>
      </c>
      <c r="E23" s="15"/>
      <c r="F23" s="15"/>
      <c r="G23" s="15"/>
    </row>
    <row r="24" spans="1:8" x14ac:dyDescent="0.3">
      <c r="A24" s="15"/>
      <c r="B24" s="82"/>
      <c r="C24" s="31" t="s">
        <v>3</v>
      </c>
      <c r="D24" s="31" t="s">
        <v>147</v>
      </c>
      <c r="E24" s="15"/>
      <c r="F24" s="15"/>
      <c r="G24" s="15"/>
    </row>
    <row r="25" spans="1:8" x14ac:dyDescent="0.3">
      <c r="A25" s="15"/>
      <c r="B25" s="82"/>
      <c r="C25" s="31" t="s">
        <v>4</v>
      </c>
      <c r="D25" s="31" t="s">
        <v>148</v>
      </c>
      <c r="E25" s="15"/>
      <c r="F25" s="15"/>
      <c r="G25" s="15"/>
    </row>
    <row r="26" spans="1:8" x14ac:dyDescent="0.3">
      <c r="A26" s="15"/>
      <c r="B26" s="82"/>
      <c r="C26" s="31" t="s">
        <v>5</v>
      </c>
      <c r="D26" s="31" t="s">
        <v>149</v>
      </c>
      <c r="E26" s="17"/>
      <c r="F26" s="15"/>
      <c r="G26" s="15"/>
    </row>
    <row r="27" spans="1:8" x14ac:dyDescent="0.3">
      <c r="A27" s="15"/>
      <c r="B27" s="82"/>
      <c r="C27" s="31" t="s">
        <v>738</v>
      </c>
      <c r="D27" s="31" t="s">
        <v>739</v>
      </c>
      <c r="E27" s="17"/>
      <c r="F27" s="15"/>
      <c r="G27" s="15"/>
    </row>
    <row r="28" spans="1:8" x14ac:dyDescent="0.3">
      <c r="A28" s="15"/>
      <c r="B28" s="82"/>
      <c r="C28" s="31" t="s">
        <v>6</v>
      </c>
      <c r="D28" s="31" t="s">
        <v>150</v>
      </c>
      <c r="E28" s="17"/>
      <c r="F28" s="15"/>
      <c r="G28" s="15"/>
    </row>
    <row r="29" spans="1:8" x14ac:dyDescent="0.3">
      <c r="A29" s="15"/>
      <c r="B29" s="82"/>
      <c r="C29" s="31" t="s">
        <v>14</v>
      </c>
      <c r="D29" s="31" t="s">
        <v>156</v>
      </c>
      <c r="E29" s="17"/>
      <c r="F29" s="15"/>
      <c r="G29" s="15"/>
    </row>
    <row r="30" spans="1:8" x14ac:dyDescent="0.3">
      <c r="A30" s="15"/>
      <c r="B30" s="82"/>
      <c r="C30" s="31" t="s">
        <v>7</v>
      </c>
      <c r="D30" s="31" t="s">
        <v>151</v>
      </c>
      <c r="E30" s="17"/>
      <c r="F30" s="15"/>
      <c r="G30" s="15"/>
    </row>
    <row r="31" spans="1:8" x14ac:dyDescent="0.3">
      <c r="A31" s="15"/>
      <c r="B31" s="82"/>
      <c r="C31" s="31" t="s">
        <v>8</v>
      </c>
      <c r="D31" s="31" t="s">
        <v>182</v>
      </c>
      <c r="E31" s="108"/>
      <c r="F31" s="15"/>
      <c r="G31" s="15"/>
    </row>
    <row r="32" spans="1:8" x14ac:dyDescent="0.3">
      <c r="A32" s="15"/>
      <c r="B32" s="82"/>
      <c r="C32" s="31"/>
      <c r="D32" s="31"/>
      <c r="E32" s="17"/>
      <c r="F32" s="15"/>
      <c r="G32" s="15"/>
    </row>
    <row r="33" spans="1:8" x14ac:dyDescent="0.3">
      <c r="A33" s="15"/>
      <c r="B33" s="82"/>
      <c r="C33" s="30" t="s">
        <v>9</v>
      </c>
      <c r="D33" s="30" t="s">
        <v>152</v>
      </c>
      <c r="E33" s="17"/>
      <c r="F33" s="15"/>
      <c r="G33" s="15"/>
    </row>
    <row r="34" spans="1:8" x14ac:dyDescent="0.3">
      <c r="A34" s="15"/>
      <c r="B34" s="82"/>
      <c r="C34" s="30" t="str">
        <f>""</f>
        <v/>
      </c>
      <c r="D34" s="30"/>
      <c r="E34" s="15"/>
      <c r="F34" s="15"/>
      <c r="G34" s="15"/>
    </row>
    <row r="35" spans="1:8" x14ac:dyDescent="0.3">
      <c r="A35" s="15"/>
      <c r="B35" s="82"/>
      <c r="C35" s="30" t="s">
        <v>10</v>
      </c>
      <c r="D35" s="30"/>
      <c r="E35" s="15"/>
      <c r="F35" s="15"/>
      <c r="G35" s="15"/>
    </row>
    <row r="36" spans="1:8" x14ac:dyDescent="0.3">
      <c r="A36" s="15"/>
      <c r="B36" s="82"/>
      <c r="C36" s="31" t="s">
        <v>11</v>
      </c>
      <c r="D36" s="31" t="s">
        <v>153</v>
      </c>
      <c r="E36" s="15"/>
      <c r="F36" s="15"/>
      <c r="G36" s="15"/>
    </row>
    <row r="37" spans="1:8" x14ac:dyDescent="0.3">
      <c r="A37" s="15"/>
      <c r="B37" s="82"/>
      <c r="C37" s="31" t="s">
        <v>12</v>
      </c>
      <c r="D37" s="31" t="s">
        <v>154</v>
      </c>
      <c r="E37" s="15"/>
      <c r="F37" s="15"/>
      <c r="G37" s="15"/>
      <c r="H37" s="15"/>
    </row>
    <row r="38" spans="1:8" x14ac:dyDescent="0.3">
      <c r="A38" s="15"/>
      <c r="B38" s="82"/>
      <c r="C38" s="31" t="s">
        <v>13</v>
      </c>
      <c r="D38" s="31" t="s">
        <v>155</v>
      </c>
      <c r="E38" s="15"/>
      <c r="F38" s="15"/>
      <c r="G38" s="15"/>
      <c r="H38" s="15"/>
    </row>
    <row r="39" spans="1:8" x14ac:dyDescent="0.3">
      <c r="A39" s="15"/>
      <c r="B39" s="82"/>
      <c r="C39" s="31" t="s">
        <v>14</v>
      </c>
      <c r="D39" s="31" t="s">
        <v>156</v>
      </c>
      <c r="E39" s="31"/>
      <c r="F39" s="17"/>
      <c r="G39" s="17"/>
      <c r="H39" s="17"/>
    </row>
    <row r="40" spans="1:8" x14ac:dyDescent="0.3">
      <c r="A40" s="15"/>
      <c r="B40" s="82"/>
      <c r="C40" s="31" t="s">
        <v>15</v>
      </c>
      <c r="D40" s="31" t="s">
        <v>157</v>
      </c>
      <c r="E40" s="31"/>
      <c r="F40" s="17"/>
      <c r="G40" s="17"/>
      <c r="H40" s="17"/>
    </row>
    <row r="41" spans="1:8" x14ac:dyDescent="0.3">
      <c r="A41" s="15"/>
      <c r="B41" s="82"/>
      <c r="C41" s="32" t="s">
        <v>6</v>
      </c>
      <c r="D41" s="32" t="s">
        <v>150</v>
      </c>
      <c r="E41" s="17"/>
      <c r="F41" s="17"/>
      <c r="G41" s="17"/>
      <c r="H41" s="17"/>
    </row>
    <row r="42" spans="1:8" x14ac:dyDescent="0.3">
      <c r="A42" s="15"/>
      <c r="B42" s="82"/>
      <c r="C42" s="31" t="s">
        <v>16</v>
      </c>
      <c r="D42" s="31" t="s">
        <v>158</v>
      </c>
      <c r="E42" s="17"/>
      <c r="F42" s="17"/>
      <c r="G42" s="17"/>
      <c r="H42" s="17"/>
    </row>
    <row r="43" spans="1:8" x14ac:dyDescent="0.3">
      <c r="A43" s="15"/>
      <c r="B43" s="82"/>
      <c r="C43" s="31" t="s">
        <v>8</v>
      </c>
      <c r="D43" s="31" t="s">
        <v>182</v>
      </c>
      <c r="E43" s="108"/>
      <c r="F43" s="17"/>
      <c r="G43" s="17"/>
      <c r="H43" s="17"/>
    </row>
    <row r="44" spans="1:8" x14ac:dyDescent="0.3">
      <c r="A44" s="15"/>
      <c r="B44" s="82"/>
      <c r="C44" s="31" t="s">
        <v>562</v>
      </c>
      <c r="D44" s="31" t="s">
        <v>563</v>
      </c>
      <c r="E44" s="108"/>
      <c r="F44" s="17"/>
      <c r="G44" s="17"/>
      <c r="H44" s="17"/>
    </row>
    <row r="45" spans="1:8" x14ac:dyDescent="0.3">
      <c r="A45" s="15"/>
      <c r="B45" s="82"/>
      <c r="C45" s="30" t="s">
        <v>17</v>
      </c>
      <c r="D45" s="30" t="s">
        <v>159</v>
      </c>
      <c r="E45" s="17"/>
      <c r="F45" s="17"/>
      <c r="G45" s="17"/>
      <c r="H45" s="17"/>
    </row>
    <row r="46" spans="1:8" x14ac:dyDescent="0.3">
      <c r="A46" s="15"/>
      <c r="B46" s="82"/>
      <c r="C46" s="30" t="str">
        <f>""</f>
        <v/>
      </c>
      <c r="D46" s="30"/>
      <c r="E46" s="17"/>
      <c r="F46" s="17"/>
      <c r="G46" s="17"/>
      <c r="H46" s="17"/>
    </row>
    <row r="47" spans="1:8" x14ac:dyDescent="0.3">
      <c r="A47" s="15"/>
      <c r="B47" s="82"/>
      <c r="C47" s="30" t="s">
        <v>36</v>
      </c>
      <c r="D47" s="30" t="s">
        <v>160</v>
      </c>
      <c r="E47" s="15"/>
      <c r="F47" s="15"/>
      <c r="G47" s="15"/>
      <c r="H47" s="15"/>
    </row>
    <row r="48" spans="1:8" x14ac:dyDescent="0.3">
      <c r="A48" s="15"/>
      <c r="B48" s="82"/>
      <c r="C48" s="30" t="str">
        <f>""</f>
        <v/>
      </c>
      <c r="D48" s="17"/>
      <c r="E48" s="15"/>
      <c r="F48" s="15"/>
      <c r="G48" s="15"/>
      <c r="H48" s="15"/>
    </row>
    <row r="49" spans="1:8" x14ac:dyDescent="0.3">
      <c r="A49" s="15"/>
      <c r="B49" s="82"/>
      <c r="C49" s="29" t="s">
        <v>38</v>
      </c>
      <c r="D49" s="29" t="s">
        <v>161</v>
      </c>
      <c r="E49" s="15"/>
      <c r="F49" s="15"/>
      <c r="G49" s="15"/>
      <c r="H49" s="15"/>
    </row>
    <row r="50" spans="1:8" x14ac:dyDescent="0.3">
      <c r="A50" s="15"/>
      <c r="B50" s="82"/>
      <c r="C50" s="30" t="str">
        <f>""</f>
        <v/>
      </c>
      <c r="D50" s="30"/>
      <c r="E50" s="15"/>
      <c r="F50" s="15"/>
      <c r="G50" s="15"/>
      <c r="H50" s="15"/>
    </row>
    <row r="51" spans="1:8" x14ac:dyDescent="0.3">
      <c r="A51" s="15"/>
      <c r="B51" s="82"/>
      <c r="C51" s="31" t="s">
        <v>18</v>
      </c>
      <c r="D51" s="31" t="s">
        <v>162</v>
      </c>
      <c r="E51" s="15"/>
      <c r="F51" s="15"/>
      <c r="G51" s="15"/>
      <c r="H51" s="15"/>
    </row>
    <row r="52" spans="1:8" x14ac:dyDescent="0.3">
      <c r="A52" s="15"/>
      <c r="B52" s="82"/>
      <c r="C52" s="31" t="s">
        <v>630</v>
      </c>
      <c r="D52" s="31" t="s">
        <v>585</v>
      </c>
      <c r="E52" s="15"/>
      <c r="F52" s="15"/>
      <c r="G52" s="15"/>
      <c r="H52" s="15"/>
    </row>
    <row r="53" spans="1:8" x14ac:dyDescent="0.3">
      <c r="A53" s="15"/>
      <c r="B53" s="82"/>
      <c r="C53" s="31" t="s">
        <v>19</v>
      </c>
      <c r="D53" s="31" t="s">
        <v>163</v>
      </c>
      <c r="E53" s="15"/>
      <c r="F53" s="15"/>
      <c r="G53" s="15"/>
      <c r="H53" s="15"/>
    </row>
    <row r="54" spans="1:8" x14ac:dyDescent="0.3">
      <c r="A54" s="15"/>
      <c r="B54" s="82"/>
      <c r="C54" s="31" t="s">
        <v>20</v>
      </c>
      <c r="D54" s="31" t="s">
        <v>164</v>
      </c>
      <c r="E54" s="15"/>
      <c r="F54" s="15"/>
      <c r="G54" s="15"/>
      <c r="H54" s="15"/>
    </row>
    <row r="55" spans="1:8" x14ac:dyDescent="0.3">
      <c r="A55" s="15"/>
      <c r="B55" s="82"/>
      <c r="C55" s="53" t="s">
        <v>512</v>
      </c>
      <c r="D55" s="53" t="s">
        <v>511</v>
      </c>
      <c r="E55" s="15"/>
      <c r="F55" s="15"/>
      <c r="G55" s="15"/>
      <c r="H55" s="15"/>
    </row>
    <row r="56" spans="1:8" x14ac:dyDescent="0.3">
      <c r="A56" s="15"/>
      <c r="B56" s="82"/>
      <c r="C56" s="31" t="s">
        <v>21</v>
      </c>
      <c r="D56" s="31" t="s">
        <v>165</v>
      </c>
      <c r="E56" s="15"/>
      <c r="F56" s="15"/>
      <c r="G56" s="15"/>
      <c r="H56" s="15"/>
    </row>
    <row r="57" spans="1:8" x14ac:dyDescent="0.3">
      <c r="A57" s="15"/>
      <c r="B57" s="82"/>
      <c r="C57" s="30" t="str">
        <f>""</f>
        <v/>
      </c>
      <c r="D57" s="30"/>
      <c r="E57" s="15"/>
      <c r="F57" s="15"/>
      <c r="G57" s="15"/>
      <c r="H57" s="15"/>
    </row>
    <row r="58" spans="1:8" x14ac:dyDescent="0.3">
      <c r="A58" s="15"/>
      <c r="B58" s="82"/>
      <c r="C58" s="30" t="s">
        <v>22</v>
      </c>
      <c r="D58" s="30" t="s">
        <v>166</v>
      </c>
      <c r="E58" s="15"/>
      <c r="F58" s="15"/>
      <c r="G58" s="15"/>
      <c r="H58" s="15"/>
    </row>
    <row r="59" spans="1:8" x14ac:dyDescent="0.3">
      <c r="A59" s="15"/>
      <c r="B59" s="82"/>
      <c r="C59" s="30" t="str">
        <f>""</f>
        <v/>
      </c>
      <c r="D59" s="30"/>
      <c r="E59" s="15"/>
      <c r="F59" s="15"/>
      <c r="G59" s="15"/>
      <c r="H59" s="15"/>
    </row>
    <row r="60" spans="1:8" x14ac:dyDescent="0.3">
      <c r="A60" s="15"/>
      <c r="B60" s="82"/>
      <c r="C60" s="30" t="s">
        <v>23</v>
      </c>
      <c r="D60" s="30" t="s">
        <v>167</v>
      </c>
      <c r="E60" s="15"/>
      <c r="F60" s="15"/>
      <c r="G60" s="15"/>
      <c r="H60" s="15"/>
    </row>
    <row r="61" spans="1:8" x14ac:dyDescent="0.3">
      <c r="A61" s="15"/>
      <c r="B61" s="82"/>
      <c r="C61" s="31" t="s">
        <v>24</v>
      </c>
      <c r="D61" s="31" t="s">
        <v>168</v>
      </c>
      <c r="E61" s="15"/>
      <c r="F61" s="15"/>
      <c r="G61" s="15"/>
      <c r="H61" s="15"/>
    </row>
    <row r="62" spans="1:8" x14ac:dyDescent="0.3">
      <c r="A62" s="15"/>
      <c r="B62" s="82"/>
      <c r="C62" s="31" t="s">
        <v>25</v>
      </c>
      <c r="D62" s="31" t="s">
        <v>179</v>
      </c>
      <c r="E62" s="17"/>
      <c r="F62" s="17"/>
      <c r="G62" s="15"/>
      <c r="H62" s="15"/>
    </row>
    <row r="63" spans="1:8" x14ac:dyDescent="0.3">
      <c r="A63" s="15"/>
      <c r="B63" s="82"/>
      <c r="C63" s="31" t="s">
        <v>655</v>
      </c>
      <c r="D63" s="31" t="s">
        <v>656</v>
      </c>
      <c r="E63" s="17"/>
      <c r="F63" s="17"/>
      <c r="G63" s="15"/>
      <c r="H63" s="15"/>
    </row>
    <row r="64" spans="1:8" x14ac:dyDescent="0.3">
      <c r="A64" s="15"/>
      <c r="B64" s="82"/>
      <c r="C64" s="31" t="s">
        <v>26</v>
      </c>
      <c r="D64" s="31" t="s">
        <v>169</v>
      </c>
      <c r="E64" s="17"/>
      <c r="F64" s="17"/>
      <c r="G64" s="15"/>
      <c r="H64" s="15"/>
    </row>
    <row r="65" spans="1:8" x14ac:dyDescent="0.3">
      <c r="A65" s="15"/>
      <c r="B65" s="82"/>
      <c r="C65" s="31" t="s">
        <v>27</v>
      </c>
      <c r="D65" s="31" t="s">
        <v>170</v>
      </c>
      <c r="E65" s="17"/>
      <c r="F65" s="17"/>
      <c r="G65" s="15"/>
      <c r="H65" s="15"/>
    </row>
    <row r="66" spans="1:8" x14ac:dyDescent="0.3">
      <c r="A66" s="15"/>
      <c r="B66" s="82"/>
      <c r="C66" s="31" t="s">
        <v>561</v>
      </c>
      <c r="D66" s="31" t="s">
        <v>560</v>
      </c>
      <c r="E66" s="17"/>
      <c r="F66" s="17"/>
      <c r="G66" s="15"/>
      <c r="H66" s="15"/>
    </row>
    <row r="67" spans="1:8" x14ac:dyDescent="0.3">
      <c r="A67" s="15"/>
      <c r="B67" s="82"/>
      <c r="C67" s="30" t="s">
        <v>39</v>
      </c>
      <c r="D67" s="30" t="s">
        <v>180</v>
      </c>
      <c r="E67" s="17"/>
      <c r="F67" s="17"/>
      <c r="G67" s="15"/>
      <c r="H67" s="15"/>
    </row>
    <row r="68" spans="1:8" x14ac:dyDescent="0.3">
      <c r="A68" s="15"/>
      <c r="B68" s="82"/>
      <c r="C68" s="30" t="str">
        <f>""</f>
        <v/>
      </c>
      <c r="D68" s="30"/>
      <c r="E68" s="17"/>
      <c r="F68" s="17"/>
      <c r="G68" s="15"/>
      <c r="H68" s="15"/>
    </row>
    <row r="69" spans="1:8" x14ac:dyDescent="0.3">
      <c r="A69" s="15"/>
      <c r="B69" s="82"/>
      <c r="C69" s="30" t="s">
        <v>28</v>
      </c>
      <c r="D69" s="30" t="s">
        <v>171</v>
      </c>
      <c r="E69" s="17"/>
      <c r="F69" s="17"/>
      <c r="G69" s="15"/>
      <c r="H69" s="15"/>
    </row>
    <row r="70" spans="1:8" x14ac:dyDescent="0.3">
      <c r="A70" s="15"/>
      <c r="B70" s="82"/>
      <c r="C70" s="31" t="s">
        <v>29</v>
      </c>
      <c r="D70" s="31" t="s">
        <v>172</v>
      </c>
      <c r="E70" s="31"/>
      <c r="F70" s="17"/>
      <c r="G70" s="15"/>
      <c r="H70" s="15"/>
    </row>
    <row r="71" spans="1:8" x14ac:dyDescent="0.3">
      <c r="A71" s="15"/>
      <c r="B71" s="82"/>
      <c r="C71" s="31" t="s">
        <v>30</v>
      </c>
      <c r="D71" s="31" t="s">
        <v>183</v>
      </c>
      <c r="E71" s="31"/>
      <c r="F71" s="17"/>
      <c r="G71" s="15"/>
      <c r="H71" s="15"/>
    </row>
    <row r="72" spans="1:8" x14ac:dyDescent="0.3">
      <c r="A72" s="15"/>
      <c r="B72" s="82"/>
      <c r="C72" s="31" t="s">
        <v>31</v>
      </c>
      <c r="D72" s="31" t="s">
        <v>173</v>
      </c>
      <c r="E72" s="31"/>
      <c r="F72" s="15"/>
      <c r="G72" s="15"/>
      <c r="H72" s="15"/>
    </row>
    <row r="73" spans="1:8" x14ac:dyDescent="0.3">
      <c r="A73" s="15"/>
      <c r="B73" s="82"/>
      <c r="C73" s="31" t="s">
        <v>657</v>
      </c>
      <c r="D73" s="31" t="s">
        <v>658</v>
      </c>
      <c r="E73" s="31"/>
      <c r="F73" s="15"/>
      <c r="G73" s="15"/>
      <c r="H73" s="15"/>
    </row>
    <row r="74" spans="1:8" x14ac:dyDescent="0.3">
      <c r="A74" s="15"/>
      <c r="B74" s="82"/>
      <c r="C74" s="31" t="s">
        <v>32</v>
      </c>
      <c r="D74" s="31" t="s">
        <v>174</v>
      </c>
      <c r="E74" s="31"/>
      <c r="F74" s="15"/>
      <c r="G74" s="15"/>
      <c r="H74" s="15"/>
    </row>
    <row r="75" spans="1:8" x14ac:dyDescent="0.3">
      <c r="A75" s="15"/>
      <c r="B75" s="82"/>
      <c r="C75" s="31" t="s">
        <v>33</v>
      </c>
      <c r="D75" s="31" t="s">
        <v>175</v>
      </c>
      <c r="E75" s="107"/>
      <c r="F75" s="15"/>
      <c r="G75" s="15"/>
      <c r="H75" s="15"/>
    </row>
    <row r="76" spans="1:8" x14ac:dyDescent="0.3">
      <c r="A76" s="15"/>
      <c r="B76" s="82"/>
      <c r="C76" s="31" t="s">
        <v>738</v>
      </c>
      <c r="D76" s="31" t="s">
        <v>739</v>
      </c>
      <c r="E76" s="107"/>
      <c r="F76" s="15"/>
      <c r="G76" s="15"/>
      <c r="H76" s="15"/>
    </row>
    <row r="77" spans="1:8" x14ac:dyDescent="0.3">
      <c r="A77" s="15"/>
      <c r="B77" s="82"/>
      <c r="C77" s="31" t="s">
        <v>26</v>
      </c>
      <c r="D77" s="31" t="s">
        <v>169</v>
      </c>
      <c r="E77" s="107"/>
      <c r="F77" s="15"/>
      <c r="G77" s="15"/>
      <c r="H77" s="15"/>
    </row>
    <row r="78" spans="1:8" x14ac:dyDescent="0.3">
      <c r="A78" s="15"/>
      <c r="B78" s="82"/>
      <c r="C78" s="31" t="s">
        <v>34</v>
      </c>
      <c r="D78" s="31" t="s">
        <v>176</v>
      </c>
      <c r="E78" s="107"/>
      <c r="F78" s="15"/>
      <c r="G78" s="15"/>
      <c r="H78" s="15"/>
    </row>
    <row r="79" spans="1:8" x14ac:dyDescent="0.3">
      <c r="A79" s="15"/>
      <c r="B79" s="82"/>
      <c r="C79" s="30" t="s">
        <v>40</v>
      </c>
      <c r="D79" s="30" t="s">
        <v>181</v>
      </c>
      <c r="E79" s="107"/>
      <c r="F79" s="15"/>
      <c r="G79" s="15"/>
      <c r="H79" s="15"/>
    </row>
    <row r="80" spans="1:8" x14ac:dyDescent="0.3">
      <c r="A80" s="15"/>
      <c r="B80" s="82"/>
      <c r="C80" s="30" t="str">
        <f>""</f>
        <v/>
      </c>
      <c r="D80" s="30"/>
      <c r="E80" s="31"/>
      <c r="F80" s="15"/>
      <c r="G80" s="15"/>
      <c r="H80" s="15"/>
    </row>
    <row r="81" spans="1:10" x14ac:dyDescent="0.3">
      <c r="A81" s="15"/>
      <c r="B81" s="82"/>
      <c r="C81" s="30" t="s">
        <v>35</v>
      </c>
      <c r="D81" s="30" t="s">
        <v>177</v>
      </c>
      <c r="E81" s="31"/>
      <c r="F81" s="15"/>
      <c r="G81" s="15"/>
      <c r="H81" s="15"/>
    </row>
    <row r="82" spans="1:10" x14ac:dyDescent="0.3">
      <c r="A82" s="15"/>
      <c r="B82" s="82"/>
      <c r="C82" s="30" t="str">
        <f>""</f>
        <v/>
      </c>
      <c r="D82" s="30"/>
      <c r="E82" s="15"/>
      <c r="F82" s="15"/>
      <c r="G82" s="15"/>
      <c r="H82" s="15"/>
    </row>
    <row r="83" spans="1:10" x14ac:dyDescent="0.3">
      <c r="A83" s="15"/>
      <c r="B83" s="82"/>
      <c r="C83" s="30" t="s">
        <v>41</v>
      </c>
      <c r="D83" s="30" t="s">
        <v>178</v>
      </c>
      <c r="E83" s="15"/>
      <c r="F83" s="15"/>
      <c r="G83" s="15"/>
      <c r="H83" s="15"/>
    </row>
    <row r="84" spans="1:10" x14ac:dyDescent="0.3">
      <c r="A84" s="15"/>
      <c r="B84" s="82"/>
      <c r="C84" s="17"/>
      <c r="D84" s="15"/>
      <c r="E84" s="15"/>
      <c r="F84" s="15"/>
      <c r="G84" s="15"/>
      <c r="H84" s="15"/>
    </row>
    <row r="85" spans="1:10" x14ac:dyDescent="0.3">
      <c r="A85" s="15"/>
      <c r="B85" s="82"/>
      <c r="C85" s="17"/>
      <c r="D85" s="15"/>
      <c r="E85" s="15"/>
      <c r="F85" s="15"/>
      <c r="G85" s="15"/>
      <c r="H85" s="15"/>
    </row>
    <row r="86" spans="1:10" ht="81.599999999999994" customHeight="1" x14ac:dyDescent="0.3">
      <c r="A86" s="15"/>
      <c r="B86" s="82"/>
      <c r="C86" s="235" t="s">
        <v>736</v>
      </c>
      <c r="D86" s="235" t="s">
        <v>737</v>
      </c>
      <c r="E86" s="234"/>
      <c r="F86" s="234"/>
      <c r="G86" s="234"/>
      <c r="H86" s="15"/>
    </row>
    <row r="87" spans="1:10" ht="14.4" customHeight="1" x14ac:dyDescent="0.3">
      <c r="A87" s="15"/>
      <c r="B87" s="82"/>
      <c r="C87" s="15" t="s">
        <v>740</v>
      </c>
      <c r="D87" s="15" t="s">
        <v>741</v>
      </c>
      <c r="E87" s="234"/>
      <c r="F87" s="234"/>
      <c r="G87" s="234"/>
      <c r="H87" s="15"/>
    </row>
    <row r="88" spans="1:10" x14ac:dyDescent="0.3">
      <c r="A88" s="15"/>
      <c r="B88" s="82"/>
      <c r="C88" s="234"/>
      <c r="D88" s="234"/>
      <c r="E88" s="234"/>
      <c r="F88" s="234"/>
      <c r="G88" s="234"/>
      <c r="H88" s="15"/>
    </row>
    <row r="89" spans="1:10" x14ac:dyDescent="0.3">
      <c r="A89" s="15"/>
      <c r="B89" s="82">
        <v>2</v>
      </c>
      <c r="C89" s="104" t="s">
        <v>78</v>
      </c>
      <c r="H89" s="15"/>
    </row>
    <row r="90" spans="1:10" x14ac:dyDescent="0.3">
      <c r="A90" s="15"/>
      <c r="B90" s="82"/>
      <c r="C90" s="104" t="s">
        <v>184</v>
      </c>
      <c r="H90" s="15"/>
    </row>
    <row r="91" spans="1:10" x14ac:dyDescent="0.3">
      <c r="A91" s="15"/>
      <c r="B91" s="82"/>
      <c r="H91" s="15"/>
    </row>
    <row r="92" spans="1:10" x14ac:dyDescent="0.3">
      <c r="A92" s="15"/>
      <c r="B92" s="82"/>
      <c r="C92" s="99">
        <f>IF(FY_IFRS_CF!B4="Выбор языка: РУССКИЙ",1,2)</f>
        <v>1</v>
      </c>
      <c r="H92" s="15"/>
    </row>
    <row r="93" spans="1:10" x14ac:dyDescent="0.3">
      <c r="A93" s="15"/>
      <c r="B93" s="82"/>
      <c r="C93" s="98" t="s">
        <v>114</v>
      </c>
      <c r="D93" s="88" t="s">
        <v>42</v>
      </c>
      <c r="E93" s="88" t="s">
        <v>43</v>
      </c>
      <c r="F93" s="88"/>
      <c r="G93" s="89"/>
      <c r="H93" s="15"/>
    </row>
    <row r="94" spans="1:10" x14ac:dyDescent="0.3">
      <c r="A94" s="15"/>
      <c r="B94" s="82"/>
      <c r="C94" s="87"/>
      <c r="D94" s="88" t="s">
        <v>548</v>
      </c>
      <c r="E94" s="88" t="s">
        <v>549</v>
      </c>
      <c r="F94" s="88"/>
      <c r="G94" s="89"/>
      <c r="H94" s="15"/>
    </row>
    <row r="95" spans="1:10" x14ac:dyDescent="0.3">
      <c r="A95" s="15"/>
      <c r="B95" s="82"/>
      <c r="C95" s="87"/>
      <c r="D95" s="88"/>
      <c r="E95" s="88"/>
      <c r="F95" s="88"/>
      <c r="G95" s="89"/>
      <c r="H95" s="15"/>
    </row>
    <row r="96" spans="1:10" x14ac:dyDescent="0.3">
      <c r="A96" s="15"/>
      <c r="B96" s="82"/>
      <c r="C96" s="87"/>
      <c r="D96" s="89">
        <v>2014</v>
      </c>
      <c r="E96" s="89">
        <v>2015</v>
      </c>
      <c r="F96" s="89">
        <v>2016</v>
      </c>
      <c r="G96" s="89">
        <v>2017</v>
      </c>
      <c r="H96" s="89">
        <v>2018</v>
      </c>
      <c r="I96" s="89">
        <v>2019</v>
      </c>
      <c r="J96" s="89">
        <v>2020</v>
      </c>
    </row>
    <row r="97" spans="1:10" x14ac:dyDescent="0.3">
      <c r="A97" s="15"/>
      <c r="B97" s="82"/>
      <c r="C97" s="87"/>
      <c r="D97" s="89">
        <v>2014</v>
      </c>
      <c r="E97" s="89">
        <v>2015</v>
      </c>
      <c r="F97" s="89">
        <v>2016</v>
      </c>
      <c r="G97" s="89">
        <v>2017</v>
      </c>
      <c r="H97" s="89">
        <v>2018</v>
      </c>
      <c r="I97" s="89">
        <v>2019</v>
      </c>
      <c r="J97" s="89">
        <v>2020</v>
      </c>
    </row>
    <row r="98" spans="1:10" x14ac:dyDescent="0.3">
      <c r="A98" s="15"/>
      <c r="B98" s="82"/>
      <c r="C98" s="13"/>
      <c r="D98" s="9"/>
      <c r="E98" s="28"/>
      <c r="F98" s="28"/>
      <c r="G98" s="28"/>
      <c r="H98" s="15"/>
    </row>
    <row r="99" spans="1:10" x14ac:dyDescent="0.3">
      <c r="A99" s="15"/>
      <c r="B99" s="82"/>
      <c r="C99" s="100">
        <f>IF(HY_IFRS_CF!$B$4="Выбор языка: РУССКИЙ",1,2)</f>
        <v>1</v>
      </c>
      <c r="D99" s="9"/>
      <c r="E99" s="28"/>
      <c r="F99" s="28"/>
      <c r="G99" s="28"/>
      <c r="H99" s="15"/>
    </row>
    <row r="100" spans="1:10" x14ac:dyDescent="0.3">
      <c r="A100" s="15"/>
      <c r="B100" s="82"/>
      <c r="C100" s="97" t="s">
        <v>115</v>
      </c>
      <c r="D100" s="85" t="s">
        <v>42</v>
      </c>
      <c r="E100" s="85" t="s">
        <v>43</v>
      </c>
      <c r="F100" s="85"/>
      <c r="G100" s="28"/>
      <c r="H100" s="15"/>
    </row>
    <row r="101" spans="1:10" x14ac:dyDescent="0.3">
      <c r="A101" s="15"/>
      <c r="B101" s="82"/>
      <c r="C101" s="84"/>
      <c r="D101" s="85" t="s">
        <v>548</v>
      </c>
      <c r="E101" s="85" t="s">
        <v>549</v>
      </c>
      <c r="F101" s="85"/>
      <c r="G101" s="28"/>
      <c r="H101" s="15"/>
    </row>
    <row r="102" spans="1:10" x14ac:dyDescent="0.3">
      <c r="A102" s="15"/>
      <c r="B102" s="82"/>
      <c r="C102" s="84"/>
      <c r="D102" s="85"/>
      <c r="E102" s="85"/>
      <c r="F102" s="85"/>
      <c r="G102" s="28"/>
      <c r="H102" s="15"/>
    </row>
    <row r="103" spans="1:10" x14ac:dyDescent="0.3">
      <c r="A103" s="15"/>
      <c r="B103" s="82"/>
      <c r="C103" s="84"/>
      <c r="D103" s="86" t="s">
        <v>110</v>
      </c>
      <c r="E103" s="86" t="s">
        <v>111</v>
      </c>
      <c r="F103" s="86" t="s">
        <v>578</v>
      </c>
      <c r="G103" s="86" t="s">
        <v>723</v>
      </c>
      <c r="H103" s="86" t="s">
        <v>758</v>
      </c>
      <c r="I103" s="86" t="s">
        <v>723</v>
      </c>
      <c r="J103" s="86" t="s">
        <v>758</v>
      </c>
    </row>
    <row r="104" spans="1:10" x14ac:dyDescent="0.3">
      <c r="A104" s="15"/>
      <c r="B104" s="82"/>
      <c r="C104" s="84"/>
      <c r="D104" s="86" t="s">
        <v>112</v>
      </c>
      <c r="E104" s="86" t="s">
        <v>113</v>
      </c>
      <c r="F104" s="86" t="s">
        <v>579</v>
      </c>
      <c r="G104" s="86" t="s">
        <v>724</v>
      </c>
      <c r="H104" s="86" t="s">
        <v>759</v>
      </c>
      <c r="I104" s="86" t="s">
        <v>724</v>
      </c>
      <c r="J104" s="86" t="s">
        <v>759</v>
      </c>
    </row>
    <row r="105" spans="1:10" x14ac:dyDescent="0.3">
      <c r="A105" s="15"/>
      <c r="B105" s="82"/>
      <c r="C105" s="13"/>
      <c r="D105" s="9"/>
      <c r="E105" s="28"/>
      <c r="F105" s="28"/>
      <c r="G105" s="28"/>
      <c r="H105" s="15"/>
    </row>
    <row r="106" spans="1:10" x14ac:dyDescent="0.3">
      <c r="A106" s="15"/>
      <c r="B106" s="82"/>
      <c r="C106" s="13"/>
      <c r="D106" s="9"/>
      <c r="E106" s="28"/>
      <c r="F106" s="28"/>
      <c r="G106" s="28"/>
      <c r="H106" s="15"/>
    </row>
    <row r="107" spans="1:10" x14ac:dyDescent="0.3">
      <c r="A107" s="15"/>
      <c r="B107" s="82"/>
      <c r="C107" s="69" t="s">
        <v>44</v>
      </c>
      <c r="D107" s="69" t="s">
        <v>185</v>
      </c>
      <c r="H107" s="15"/>
    </row>
    <row r="108" spans="1:10" x14ac:dyDescent="0.3">
      <c r="A108" s="15"/>
      <c r="B108" s="82"/>
      <c r="C108" s="70" t="s">
        <v>45</v>
      </c>
      <c r="D108" s="70" t="s">
        <v>136</v>
      </c>
      <c r="E108" s="15"/>
      <c r="F108" s="15"/>
      <c r="G108" s="15"/>
      <c r="H108" s="15"/>
    </row>
    <row r="109" spans="1:10" x14ac:dyDescent="0.3">
      <c r="A109" s="15"/>
      <c r="B109" s="82"/>
      <c r="C109" s="71" t="str">
        <f>""</f>
        <v/>
      </c>
      <c r="D109" s="71"/>
      <c r="E109" s="15"/>
      <c r="F109" s="15"/>
      <c r="G109" s="15"/>
      <c r="H109" s="15"/>
    </row>
    <row r="110" spans="1:10" x14ac:dyDescent="0.3">
      <c r="A110" s="15"/>
      <c r="B110" s="82"/>
      <c r="C110" s="70" t="s">
        <v>46</v>
      </c>
      <c r="D110" s="70" t="s">
        <v>186</v>
      </c>
      <c r="E110" s="15"/>
      <c r="F110" s="15"/>
      <c r="G110" s="15"/>
      <c r="H110" s="15"/>
    </row>
    <row r="111" spans="1:10" x14ac:dyDescent="0.3">
      <c r="A111" s="15"/>
      <c r="B111" s="82"/>
      <c r="C111" s="72" t="s">
        <v>47</v>
      </c>
      <c r="D111" s="72" t="s">
        <v>187</v>
      </c>
      <c r="E111" s="15"/>
      <c r="F111" s="15"/>
      <c r="G111" s="15"/>
      <c r="H111" s="15"/>
    </row>
    <row r="112" spans="1:10" x14ac:dyDescent="0.3">
      <c r="A112" s="15"/>
      <c r="B112" s="82"/>
      <c r="C112" s="72" t="s">
        <v>50</v>
      </c>
      <c r="D112" s="72" t="s">
        <v>131</v>
      </c>
      <c r="E112" s="15"/>
      <c r="F112" s="15"/>
      <c r="G112" s="15"/>
      <c r="H112" s="15"/>
    </row>
    <row r="113" spans="1:8" x14ac:dyDescent="0.3">
      <c r="A113" s="15"/>
      <c r="B113" s="82"/>
      <c r="C113" s="72" t="s">
        <v>48</v>
      </c>
      <c r="D113" s="72" t="s">
        <v>188</v>
      </c>
      <c r="E113" s="15"/>
      <c r="F113" s="15"/>
      <c r="G113" s="15"/>
      <c r="H113" s="15"/>
    </row>
    <row r="114" spans="1:8" x14ac:dyDescent="0.3">
      <c r="A114" s="15"/>
      <c r="B114" s="82"/>
      <c r="C114" s="72" t="s">
        <v>49</v>
      </c>
      <c r="D114" s="72" t="s">
        <v>189</v>
      </c>
      <c r="E114" s="15"/>
      <c r="F114" s="15"/>
      <c r="G114" s="15"/>
      <c r="H114" s="15"/>
    </row>
    <row r="115" spans="1:8" x14ac:dyDescent="0.3">
      <c r="A115" s="15"/>
      <c r="B115" s="82"/>
      <c r="C115" s="72" t="s">
        <v>651</v>
      </c>
      <c r="D115" s="72" t="s">
        <v>652</v>
      </c>
      <c r="E115" s="15"/>
      <c r="F115" s="15"/>
      <c r="G115" s="15"/>
      <c r="H115" s="15"/>
    </row>
    <row r="116" spans="1:8" x14ac:dyDescent="0.3">
      <c r="A116" s="15"/>
      <c r="B116" s="82"/>
      <c r="C116" s="72" t="s">
        <v>51</v>
      </c>
      <c r="D116" s="72" t="s">
        <v>130</v>
      </c>
      <c r="E116" s="15"/>
      <c r="F116" s="15"/>
      <c r="G116" s="15"/>
      <c r="H116" s="15"/>
    </row>
    <row r="117" spans="1:8" ht="28.8" x14ac:dyDescent="0.3">
      <c r="A117" s="15"/>
      <c r="B117" s="82"/>
      <c r="C117" s="105" t="s">
        <v>143</v>
      </c>
      <c r="D117" s="105" t="s">
        <v>210</v>
      </c>
      <c r="E117" s="15"/>
      <c r="F117" s="15"/>
      <c r="G117" s="15"/>
      <c r="H117" s="15"/>
    </row>
    <row r="118" spans="1:8" x14ac:dyDescent="0.3">
      <c r="A118" s="15"/>
      <c r="B118" s="82"/>
      <c r="C118" s="105" t="s">
        <v>730</v>
      </c>
      <c r="D118" s="105" t="s">
        <v>731</v>
      </c>
      <c r="E118" s="15"/>
      <c r="F118" s="15"/>
      <c r="G118" s="15"/>
      <c r="H118" s="15"/>
    </row>
    <row r="119" spans="1:8" x14ac:dyDescent="0.3">
      <c r="A119" s="15"/>
      <c r="B119" s="82"/>
      <c r="C119" s="72" t="s">
        <v>53</v>
      </c>
      <c r="D119" s="72" t="s">
        <v>217</v>
      </c>
      <c r="E119" s="15"/>
      <c r="F119" s="15"/>
      <c r="G119" s="15"/>
      <c r="H119" s="15"/>
    </row>
    <row r="120" spans="1:8" x14ac:dyDescent="0.3">
      <c r="A120" s="15"/>
      <c r="B120" s="82"/>
      <c r="C120" s="105" t="s">
        <v>52</v>
      </c>
      <c r="D120" s="105" t="s">
        <v>190</v>
      </c>
      <c r="E120" s="15"/>
      <c r="F120" s="15"/>
      <c r="G120" s="15"/>
      <c r="H120" s="15"/>
    </row>
    <row r="121" spans="1:8" x14ac:dyDescent="0.3">
      <c r="A121" s="15"/>
      <c r="B121" s="82"/>
      <c r="C121" s="105" t="s">
        <v>764</v>
      </c>
      <c r="D121" s="105" t="s">
        <v>765</v>
      </c>
      <c r="E121" s="15"/>
      <c r="F121" s="15"/>
      <c r="G121" s="15"/>
      <c r="H121" s="15"/>
    </row>
    <row r="122" spans="1:8" x14ac:dyDescent="0.3">
      <c r="A122" s="15"/>
      <c r="B122" s="82"/>
      <c r="C122" s="71" t="str">
        <f>""</f>
        <v/>
      </c>
      <c r="D122" s="15"/>
      <c r="E122" s="15"/>
      <c r="F122" s="15"/>
      <c r="G122" s="15"/>
      <c r="H122" s="15"/>
    </row>
    <row r="123" spans="1:8" x14ac:dyDescent="0.3">
      <c r="A123" s="15"/>
      <c r="B123" s="82"/>
      <c r="C123" s="70" t="s">
        <v>639</v>
      </c>
      <c r="D123" s="70" t="s">
        <v>191</v>
      </c>
      <c r="E123" s="15"/>
      <c r="F123" s="15"/>
      <c r="G123" s="15"/>
      <c r="H123" s="15"/>
    </row>
    <row r="124" spans="1:8" x14ac:dyDescent="0.3">
      <c r="A124" s="15"/>
      <c r="B124" s="82"/>
      <c r="C124" s="72" t="s">
        <v>11</v>
      </c>
      <c r="D124" s="72" t="s">
        <v>153</v>
      </c>
      <c r="E124" s="15"/>
      <c r="F124" s="15"/>
      <c r="G124" s="15"/>
      <c r="H124" s="15"/>
    </row>
    <row r="125" spans="1:8" x14ac:dyDescent="0.3">
      <c r="A125" s="15"/>
      <c r="B125" s="82"/>
      <c r="C125" s="72" t="s">
        <v>12</v>
      </c>
      <c r="D125" s="72" t="s">
        <v>154</v>
      </c>
      <c r="E125" s="15"/>
      <c r="F125" s="15"/>
      <c r="G125" s="15"/>
      <c r="H125" s="15"/>
    </row>
    <row r="126" spans="1:8" x14ac:dyDescent="0.3">
      <c r="A126" s="15"/>
      <c r="B126" s="82"/>
      <c r="C126" s="72" t="s">
        <v>14</v>
      </c>
      <c r="D126" s="72" t="s">
        <v>156</v>
      </c>
      <c r="E126" s="15"/>
      <c r="F126" s="15"/>
      <c r="G126" s="15"/>
      <c r="H126" s="15"/>
    </row>
    <row r="127" spans="1:8" x14ac:dyDescent="0.3">
      <c r="A127" s="15"/>
      <c r="B127" s="82"/>
      <c r="C127" s="72" t="s">
        <v>13</v>
      </c>
      <c r="D127" s="72" t="s">
        <v>155</v>
      </c>
      <c r="E127" s="15"/>
      <c r="F127" s="15"/>
      <c r="G127" s="15"/>
      <c r="H127" s="15"/>
    </row>
    <row r="128" spans="1:8" x14ac:dyDescent="0.3">
      <c r="A128" s="15"/>
      <c r="B128" s="82"/>
      <c r="C128" s="105" t="s">
        <v>26</v>
      </c>
      <c r="D128" s="105" t="s">
        <v>169</v>
      </c>
      <c r="E128" s="15"/>
      <c r="F128" s="15"/>
      <c r="G128" s="15"/>
      <c r="H128" s="15"/>
    </row>
    <row r="129" spans="1:8" x14ac:dyDescent="0.3">
      <c r="A129" s="15"/>
      <c r="B129" s="82"/>
      <c r="C129" s="105" t="s">
        <v>32</v>
      </c>
      <c r="D129" s="105" t="s">
        <v>211</v>
      </c>
      <c r="E129" s="15"/>
      <c r="F129" s="15"/>
      <c r="G129" s="15"/>
      <c r="H129" s="15"/>
    </row>
    <row r="130" spans="1:8" x14ac:dyDescent="0.3">
      <c r="A130" s="15"/>
      <c r="B130" s="82"/>
      <c r="C130" s="72" t="s">
        <v>6</v>
      </c>
      <c r="D130" s="72" t="s">
        <v>150</v>
      </c>
      <c r="E130" s="15"/>
      <c r="F130" s="15"/>
      <c r="G130" s="15"/>
      <c r="H130" s="15"/>
    </row>
    <row r="131" spans="1:8" x14ac:dyDescent="0.3">
      <c r="A131" s="15"/>
      <c r="B131" s="82"/>
      <c r="C131" s="72" t="s">
        <v>631</v>
      </c>
      <c r="D131" s="72" t="s">
        <v>632</v>
      </c>
      <c r="E131" s="15"/>
      <c r="F131" s="15"/>
      <c r="G131" s="15"/>
      <c r="H131" s="15"/>
    </row>
    <row r="132" spans="1:8" x14ac:dyDescent="0.3">
      <c r="A132" s="15"/>
      <c r="B132" s="82"/>
      <c r="C132" s="72" t="s">
        <v>562</v>
      </c>
      <c r="D132" s="72" t="s">
        <v>563</v>
      </c>
      <c r="E132" s="15"/>
      <c r="F132" s="15"/>
      <c r="G132" s="15"/>
      <c r="H132" s="15"/>
    </row>
    <row r="133" spans="1:8" x14ac:dyDescent="0.3">
      <c r="A133" s="15"/>
      <c r="B133" s="82"/>
      <c r="C133" s="72" t="s">
        <v>34</v>
      </c>
      <c r="D133" s="72" t="s">
        <v>176</v>
      </c>
      <c r="E133" s="15"/>
      <c r="F133" s="15"/>
      <c r="G133" s="15"/>
      <c r="H133" s="15"/>
    </row>
    <row r="134" spans="1:8" x14ac:dyDescent="0.3">
      <c r="A134" s="15"/>
      <c r="B134" s="82"/>
      <c r="C134" s="71" t="str">
        <f>""</f>
        <v/>
      </c>
      <c r="D134" s="15"/>
      <c r="E134" s="15"/>
      <c r="F134" s="15"/>
      <c r="G134" s="15"/>
      <c r="H134" s="15"/>
    </row>
    <row r="135" spans="1:8" x14ac:dyDescent="0.3">
      <c r="A135" s="15"/>
      <c r="B135" s="82"/>
      <c r="C135" s="71" t="str">
        <f>""</f>
        <v/>
      </c>
      <c r="E135" s="15"/>
      <c r="F135" s="15"/>
      <c r="G135" s="15"/>
      <c r="H135" s="15"/>
    </row>
    <row r="136" spans="1:8" x14ac:dyDescent="0.3">
      <c r="A136" s="15"/>
      <c r="B136" s="82"/>
      <c r="C136" s="70" t="s">
        <v>54</v>
      </c>
      <c r="D136" s="70" t="s">
        <v>192</v>
      </c>
      <c r="E136" s="15"/>
      <c r="F136" s="15"/>
      <c r="G136" s="15"/>
      <c r="H136" s="15"/>
    </row>
    <row r="137" spans="1:8" x14ac:dyDescent="0.3">
      <c r="A137" s="15"/>
      <c r="B137" s="82"/>
      <c r="C137" s="72" t="s">
        <v>55</v>
      </c>
      <c r="D137" s="72" t="s">
        <v>193</v>
      </c>
      <c r="E137" s="15"/>
      <c r="F137" s="15"/>
      <c r="G137" s="15"/>
      <c r="H137" s="15"/>
    </row>
    <row r="138" spans="1:8" x14ac:dyDescent="0.3">
      <c r="A138" s="15"/>
      <c r="B138" s="82"/>
      <c r="C138" s="71" t="str">
        <f>""</f>
        <v/>
      </c>
      <c r="D138" s="71"/>
      <c r="E138" s="15"/>
      <c r="F138" s="15"/>
      <c r="G138" s="15"/>
      <c r="H138" s="15"/>
    </row>
    <row r="139" spans="1:8" ht="28.8" x14ac:dyDescent="0.3">
      <c r="A139" s="15"/>
      <c r="B139" s="82"/>
      <c r="C139" s="44" t="s">
        <v>56</v>
      </c>
      <c r="D139" s="44" t="s">
        <v>194</v>
      </c>
      <c r="E139" s="15"/>
      <c r="F139" s="15"/>
      <c r="G139" s="15"/>
      <c r="H139" s="15"/>
    </row>
    <row r="140" spans="1:8" x14ac:dyDescent="0.3">
      <c r="A140" s="15"/>
      <c r="B140" s="82"/>
      <c r="C140" s="71" t="str">
        <f>""</f>
        <v/>
      </c>
      <c r="D140" s="15"/>
      <c r="E140" s="15"/>
      <c r="F140" s="15"/>
      <c r="G140" s="15"/>
      <c r="H140" s="15"/>
    </row>
    <row r="141" spans="1:8" ht="15.75" customHeight="1" x14ac:dyDescent="0.3">
      <c r="A141" s="15"/>
      <c r="B141" s="82"/>
      <c r="C141" s="69" t="s">
        <v>57</v>
      </c>
      <c r="D141" s="69" t="s">
        <v>195</v>
      </c>
      <c r="E141" s="15"/>
      <c r="F141" s="15"/>
      <c r="G141" s="15"/>
      <c r="H141" s="15"/>
    </row>
    <row r="142" spans="1:8" x14ac:dyDescent="0.3">
      <c r="A142" s="15"/>
      <c r="B142" s="82"/>
      <c r="C142" s="71" t="str">
        <f>""</f>
        <v/>
      </c>
      <c r="D142" s="15"/>
      <c r="E142" s="15"/>
      <c r="F142" s="15"/>
      <c r="G142" s="15"/>
      <c r="H142" s="15"/>
    </row>
    <row r="143" spans="1:8" x14ac:dyDescent="0.3">
      <c r="A143" s="15"/>
      <c r="B143" s="82"/>
      <c r="C143" s="72" t="s">
        <v>61</v>
      </c>
      <c r="D143" s="106" t="s">
        <v>212</v>
      </c>
      <c r="E143" s="15"/>
      <c r="F143" s="15"/>
      <c r="G143" s="15"/>
      <c r="H143" s="15"/>
    </row>
    <row r="144" spans="1:8" x14ac:dyDescent="0.3">
      <c r="A144" s="15"/>
      <c r="B144" s="82"/>
      <c r="C144" s="72" t="s">
        <v>58</v>
      </c>
      <c r="D144" s="17" t="s">
        <v>196</v>
      </c>
      <c r="E144" s="15"/>
      <c r="F144" s="15"/>
      <c r="G144" s="15"/>
      <c r="H144" s="15"/>
    </row>
    <row r="145" spans="1:8" x14ac:dyDescent="0.3">
      <c r="A145" s="15"/>
      <c r="B145" s="82"/>
      <c r="C145" s="72" t="s">
        <v>59</v>
      </c>
      <c r="D145" s="17" t="s">
        <v>197</v>
      </c>
      <c r="E145" s="15"/>
      <c r="F145" s="15"/>
      <c r="G145" s="15"/>
      <c r="H145" s="15"/>
    </row>
    <row r="146" spans="1:8" x14ac:dyDescent="0.3">
      <c r="A146" s="15"/>
      <c r="B146" s="82"/>
      <c r="C146" s="105" t="s">
        <v>62</v>
      </c>
      <c r="D146" s="15" t="s">
        <v>218</v>
      </c>
      <c r="E146" s="15"/>
      <c r="F146" s="15"/>
      <c r="G146" s="15"/>
      <c r="H146" s="15"/>
    </row>
    <row r="147" spans="1:8" x14ac:dyDescent="0.3">
      <c r="A147" s="15"/>
      <c r="B147" s="82"/>
      <c r="C147" s="105" t="s">
        <v>60</v>
      </c>
      <c r="D147" s="3" t="s">
        <v>198</v>
      </c>
      <c r="E147" s="15"/>
      <c r="F147" s="15"/>
      <c r="G147" s="15"/>
      <c r="H147" s="15"/>
    </row>
    <row r="148" spans="1:8" x14ac:dyDescent="0.3">
      <c r="A148" s="15"/>
      <c r="B148" s="82"/>
      <c r="C148" s="105" t="s">
        <v>742</v>
      </c>
      <c r="D148" s="3" t="s">
        <v>182</v>
      </c>
      <c r="E148" s="15"/>
      <c r="F148" s="15"/>
      <c r="G148" s="15"/>
      <c r="H148" s="15"/>
    </row>
    <row r="149" spans="1:8" x14ac:dyDescent="0.3">
      <c r="A149" s="15"/>
      <c r="B149" s="82"/>
      <c r="C149" s="105" t="s">
        <v>743</v>
      </c>
      <c r="D149" s="3" t="s">
        <v>150</v>
      </c>
      <c r="E149" s="15"/>
      <c r="F149" s="15"/>
      <c r="G149" s="15"/>
      <c r="H149" s="15"/>
    </row>
    <row r="150" spans="1:8" x14ac:dyDescent="0.3">
      <c r="A150" s="15"/>
      <c r="B150" s="82"/>
      <c r="C150" s="72" t="s">
        <v>63</v>
      </c>
      <c r="D150" s="15" t="s">
        <v>199</v>
      </c>
      <c r="E150" s="15"/>
      <c r="F150" s="15"/>
      <c r="G150" s="15"/>
      <c r="H150" s="15"/>
    </row>
    <row r="151" spans="1:8" x14ac:dyDescent="0.3">
      <c r="A151" s="15"/>
      <c r="B151" s="82"/>
      <c r="C151" s="72" t="s">
        <v>64</v>
      </c>
      <c r="D151" s="15" t="s">
        <v>200</v>
      </c>
      <c r="E151" s="15"/>
      <c r="F151" s="15"/>
      <c r="G151" s="15"/>
      <c r="H151" s="15"/>
    </row>
    <row r="152" spans="1:8" x14ac:dyDescent="0.3">
      <c r="A152" s="15"/>
      <c r="B152" s="82"/>
      <c r="C152" s="72" t="s">
        <v>633</v>
      </c>
      <c r="D152" s="15" t="s">
        <v>583</v>
      </c>
      <c r="E152" s="15"/>
      <c r="F152" s="15"/>
      <c r="G152" s="15"/>
      <c r="H152" s="15"/>
    </row>
    <row r="153" spans="1:8" x14ac:dyDescent="0.3">
      <c r="A153" s="15"/>
      <c r="B153" s="82"/>
      <c r="C153" s="72" t="s">
        <v>634</v>
      </c>
      <c r="D153" s="15" t="s">
        <v>584</v>
      </c>
      <c r="E153" s="15"/>
      <c r="F153" s="15"/>
      <c r="G153" s="15"/>
      <c r="H153" s="15"/>
    </row>
    <row r="154" spans="1:8" x14ac:dyDescent="0.3">
      <c r="A154" s="15"/>
      <c r="B154" s="82"/>
      <c r="C154" s="71" t="str">
        <f>""</f>
        <v/>
      </c>
      <c r="D154" s="15"/>
      <c r="E154" s="15"/>
      <c r="F154" s="15"/>
      <c r="G154" s="15"/>
      <c r="H154" s="15"/>
    </row>
    <row r="155" spans="1:8" ht="28.8" x14ac:dyDescent="0.3">
      <c r="A155" s="15"/>
      <c r="B155" s="82"/>
      <c r="C155" s="44" t="s">
        <v>65</v>
      </c>
      <c r="D155" s="44" t="s">
        <v>201</v>
      </c>
      <c r="E155" s="15"/>
      <c r="F155" s="15"/>
      <c r="G155" s="15"/>
      <c r="H155" s="15"/>
    </row>
    <row r="156" spans="1:8" x14ac:dyDescent="0.3">
      <c r="A156" s="15"/>
      <c r="B156" s="82"/>
      <c r="C156" s="71" t="s">
        <v>66</v>
      </c>
      <c r="D156" s="15"/>
      <c r="E156" s="15"/>
      <c r="F156" s="15"/>
      <c r="G156" s="15"/>
      <c r="H156" s="15"/>
    </row>
    <row r="157" spans="1:8" x14ac:dyDescent="0.3">
      <c r="A157" s="15"/>
      <c r="B157" s="82"/>
      <c r="C157" s="71" t="s">
        <v>67</v>
      </c>
      <c r="D157" s="15"/>
      <c r="E157" s="15"/>
      <c r="F157" s="15"/>
      <c r="G157" s="15"/>
      <c r="H157" s="15"/>
    </row>
    <row r="158" spans="1:8" x14ac:dyDescent="0.3">
      <c r="A158" s="15"/>
      <c r="B158" s="82"/>
      <c r="C158" s="73" t="s">
        <v>68</v>
      </c>
      <c r="D158" s="15"/>
      <c r="E158" s="15"/>
      <c r="F158" s="15"/>
      <c r="G158" s="15"/>
      <c r="H158" s="15"/>
    </row>
    <row r="159" spans="1:8" x14ac:dyDescent="0.3">
      <c r="A159" s="15"/>
      <c r="B159" s="82"/>
      <c r="C159" s="71" t="str">
        <f>""</f>
        <v/>
      </c>
      <c r="D159" s="15"/>
      <c r="E159" s="15"/>
      <c r="F159" s="15"/>
      <c r="G159" s="15"/>
      <c r="H159" s="15"/>
    </row>
    <row r="160" spans="1:8" x14ac:dyDescent="0.3">
      <c r="A160" s="15"/>
      <c r="B160" s="82"/>
      <c r="C160" s="69" t="s">
        <v>69</v>
      </c>
      <c r="D160" s="69" t="s">
        <v>204</v>
      </c>
      <c r="E160" s="15"/>
      <c r="F160" s="15"/>
      <c r="G160" s="15"/>
      <c r="H160" s="15"/>
    </row>
    <row r="161" spans="1:8" x14ac:dyDescent="0.3">
      <c r="A161" s="15"/>
      <c r="B161" s="82"/>
      <c r="C161" s="105" t="s">
        <v>70</v>
      </c>
      <c r="D161" s="105" t="s">
        <v>202</v>
      </c>
      <c r="E161" s="15"/>
      <c r="F161" s="15"/>
      <c r="G161" s="15"/>
      <c r="H161" s="15"/>
    </row>
    <row r="162" spans="1:8" x14ac:dyDescent="0.3">
      <c r="A162" s="15"/>
      <c r="B162" s="82"/>
      <c r="C162" s="105" t="s">
        <v>635</v>
      </c>
      <c r="D162" s="105" t="s">
        <v>636</v>
      </c>
      <c r="E162" s="15"/>
      <c r="F162" s="15"/>
      <c r="G162" s="15"/>
      <c r="H162" s="15"/>
    </row>
    <row r="163" spans="1:8" x14ac:dyDescent="0.3">
      <c r="A163" s="15"/>
      <c r="B163" s="82"/>
      <c r="C163" s="105" t="s">
        <v>220</v>
      </c>
      <c r="D163" s="105" t="s">
        <v>213</v>
      </c>
      <c r="E163" s="15" t="s">
        <v>744</v>
      </c>
      <c r="F163" s="15"/>
      <c r="G163" s="15"/>
      <c r="H163" s="15"/>
    </row>
    <row r="164" spans="1:8" x14ac:dyDescent="0.3">
      <c r="A164" s="15"/>
      <c r="B164" s="82"/>
      <c r="C164" s="236" t="s">
        <v>221</v>
      </c>
      <c r="D164" s="236" t="s">
        <v>214</v>
      </c>
      <c r="E164" s="15" t="s">
        <v>745</v>
      </c>
      <c r="F164" s="15"/>
      <c r="G164" s="15"/>
      <c r="H164" s="15"/>
    </row>
    <row r="165" spans="1:8" x14ac:dyDescent="0.3">
      <c r="A165" s="15"/>
      <c r="B165" s="82"/>
      <c r="C165" s="236" t="s">
        <v>71</v>
      </c>
      <c r="D165" s="72" t="s">
        <v>203</v>
      </c>
      <c r="E165" s="15"/>
      <c r="F165" s="15"/>
      <c r="G165" s="15"/>
      <c r="H165" s="15"/>
    </row>
    <row r="166" spans="1:8" ht="28.8" x14ac:dyDescent="0.3">
      <c r="A166" s="15"/>
      <c r="B166" s="82"/>
      <c r="C166" s="289" t="s">
        <v>660</v>
      </c>
      <c r="D166" s="72" t="s">
        <v>659</v>
      </c>
      <c r="E166" s="15"/>
      <c r="F166" s="15"/>
      <c r="G166" s="15"/>
      <c r="H166" s="15"/>
    </row>
    <row r="167" spans="1:8" x14ac:dyDescent="0.3">
      <c r="A167" s="15"/>
      <c r="B167" s="82"/>
      <c r="C167" s="236" t="s">
        <v>594</v>
      </c>
      <c r="D167" s="72" t="s">
        <v>584</v>
      </c>
      <c r="E167" s="15"/>
      <c r="F167" s="15"/>
      <c r="G167" s="15"/>
      <c r="H167" s="15"/>
    </row>
    <row r="168" spans="1:8" x14ac:dyDescent="0.3">
      <c r="A168" s="15"/>
      <c r="B168" s="82"/>
      <c r="C168" s="72" t="s">
        <v>72</v>
      </c>
      <c r="D168" s="72" t="s">
        <v>215</v>
      </c>
      <c r="E168" s="15"/>
      <c r="F168" s="15"/>
      <c r="G168" s="15"/>
      <c r="H168" s="15"/>
    </row>
    <row r="169" spans="1:8" x14ac:dyDescent="0.3">
      <c r="A169" s="15"/>
      <c r="B169" s="82"/>
      <c r="C169" s="72" t="s">
        <v>73</v>
      </c>
      <c r="D169" s="72" t="s">
        <v>216</v>
      </c>
      <c r="E169" s="15"/>
      <c r="F169" s="15"/>
      <c r="G169" s="15"/>
      <c r="H169" s="15"/>
    </row>
    <row r="170" spans="1:8" x14ac:dyDescent="0.3">
      <c r="A170" s="15"/>
      <c r="B170" s="82"/>
      <c r="C170" s="72" t="s">
        <v>593</v>
      </c>
      <c r="D170" s="72" t="s">
        <v>583</v>
      </c>
      <c r="E170" s="15"/>
      <c r="F170" s="15"/>
      <c r="G170" s="15"/>
      <c r="H170" s="15"/>
    </row>
    <row r="171" spans="1:8" x14ac:dyDescent="0.3">
      <c r="A171" s="15"/>
      <c r="B171" s="82"/>
      <c r="C171" s="71" t="str">
        <f>""</f>
        <v/>
      </c>
      <c r="D171" s="237"/>
      <c r="E171" s="15"/>
      <c r="F171" s="15"/>
      <c r="G171" s="15"/>
      <c r="H171" s="15"/>
    </row>
    <row r="172" spans="1:8" ht="28.8" x14ac:dyDescent="0.3">
      <c r="A172" s="15"/>
      <c r="B172" s="82"/>
      <c r="C172" s="44" t="s">
        <v>74</v>
      </c>
      <c r="D172" s="44" t="s">
        <v>205</v>
      </c>
      <c r="E172" s="15"/>
      <c r="F172" s="15"/>
      <c r="G172" s="15"/>
      <c r="H172" s="15"/>
    </row>
    <row r="173" spans="1:8" x14ac:dyDescent="0.3">
      <c r="A173" s="15"/>
      <c r="B173" s="82"/>
      <c r="C173" s="71" t="str">
        <f>""</f>
        <v/>
      </c>
      <c r="D173" s="71"/>
      <c r="E173" s="15"/>
      <c r="F173" s="15"/>
      <c r="G173" s="15"/>
      <c r="H173" s="15"/>
    </row>
    <row r="174" spans="1:8" x14ac:dyDescent="0.3">
      <c r="A174" s="15"/>
      <c r="B174" s="82"/>
      <c r="C174" s="70" t="s">
        <v>571</v>
      </c>
      <c r="D174" s="70" t="s">
        <v>572</v>
      </c>
      <c r="E174" s="15"/>
      <c r="F174" s="15"/>
      <c r="G174" s="15"/>
      <c r="H174" s="15"/>
    </row>
    <row r="175" spans="1:8" x14ac:dyDescent="0.3">
      <c r="A175" s="15"/>
      <c r="B175" s="82"/>
      <c r="C175" s="70" t="s">
        <v>75</v>
      </c>
      <c r="D175" s="70" t="s">
        <v>206</v>
      </c>
      <c r="E175" s="15"/>
      <c r="F175" s="15"/>
      <c r="G175" s="15"/>
      <c r="H175" s="15"/>
    </row>
    <row r="176" spans="1:8" x14ac:dyDescent="0.3">
      <c r="A176" s="15"/>
      <c r="B176" s="82"/>
      <c r="C176" s="71" t="s">
        <v>76</v>
      </c>
      <c r="D176" s="71" t="s">
        <v>207</v>
      </c>
      <c r="E176" s="15"/>
      <c r="F176" s="15"/>
      <c r="G176" s="15"/>
      <c r="H176" s="15"/>
    </row>
    <row r="177" spans="1:10" x14ac:dyDescent="0.3">
      <c r="A177" s="15"/>
      <c r="B177" s="82"/>
      <c r="C177" s="71" t="s">
        <v>77</v>
      </c>
      <c r="D177" s="71" t="s">
        <v>208</v>
      </c>
      <c r="E177" s="15"/>
      <c r="F177" s="15"/>
      <c r="G177" s="15"/>
      <c r="H177" s="15"/>
    </row>
    <row r="178" spans="1:10" x14ac:dyDescent="0.3">
      <c r="A178" s="15"/>
      <c r="B178" s="82"/>
      <c r="C178" s="70" t="s">
        <v>513</v>
      </c>
      <c r="D178" s="70" t="s">
        <v>209</v>
      </c>
      <c r="E178" s="15"/>
      <c r="F178" s="15"/>
      <c r="G178" s="15"/>
      <c r="H178" s="15"/>
    </row>
    <row r="179" spans="1:10" x14ac:dyDescent="0.3">
      <c r="A179" s="15"/>
      <c r="B179" s="82"/>
      <c r="C179" s="17"/>
      <c r="D179" s="15"/>
      <c r="E179" s="15"/>
      <c r="F179" s="15"/>
      <c r="G179" s="15"/>
      <c r="H179" s="15"/>
    </row>
    <row r="180" spans="1:10" x14ac:dyDescent="0.3">
      <c r="A180" s="15"/>
      <c r="B180" s="82"/>
      <c r="C180" s="15" t="s">
        <v>735</v>
      </c>
      <c r="D180" s="15" t="s">
        <v>734</v>
      </c>
      <c r="E180" s="15"/>
      <c r="F180" s="15"/>
      <c r="G180" s="15"/>
      <c r="H180" s="15"/>
    </row>
    <row r="181" spans="1:10" x14ac:dyDescent="0.3">
      <c r="A181" s="15"/>
      <c r="B181" s="82"/>
      <c r="C181" s="15" t="s">
        <v>732</v>
      </c>
      <c r="D181" s="15" t="s">
        <v>733</v>
      </c>
      <c r="E181" s="15"/>
      <c r="F181" s="15"/>
      <c r="G181" s="15"/>
      <c r="H181" s="15"/>
    </row>
    <row r="182" spans="1:10" ht="97.8" customHeight="1" x14ac:dyDescent="0.3">
      <c r="A182" s="15"/>
      <c r="B182" s="82"/>
      <c r="C182" s="235" t="s">
        <v>637</v>
      </c>
      <c r="D182" s="235" t="s">
        <v>638</v>
      </c>
      <c r="E182" s="15"/>
      <c r="F182" s="235"/>
      <c r="G182" s="235"/>
      <c r="H182" s="235"/>
      <c r="I182" s="235"/>
    </row>
    <row r="183" spans="1:10" x14ac:dyDescent="0.3">
      <c r="A183" s="15"/>
      <c r="B183" s="82"/>
      <c r="C183" s="15"/>
      <c r="D183" s="15"/>
      <c r="E183" s="15"/>
      <c r="F183" s="15"/>
      <c r="G183" s="15"/>
      <c r="H183" s="15"/>
    </row>
    <row r="184" spans="1:10" x14ac:dyDescent="0.3">
      <c r="A184" s="15"/>
      <c r="B184" s="82">
        <v>3</v>
      </c>
      <c r="C184" s="102" t="s">
        <v>137</v>
      </c>
      <c r="H184" s="15"/>
    </row>
    <row r="185" spans="1:10" x14ac:dyDescent="0.3">
      <c r="A185" s="15"/>
      <c r="B185" s="82"/>
      <c r="C185" s="102" t="s">
        <v>79</v>
      </c>
      <c r="H185" s="15"/>
    </row>
    <row r="186" spans="1:10" x14ac:dyDescent="0.3">
      <c r="A186" s="15"/>
      <c r="B186" s="82"/>
      <c r="C186" s="74"/>
    </row>
    <row r="187" spans="1:10" x14ac:dyDescent="0.3">
      <c r="A187" s="15"/>
      <c r="B187" s="82"/>
      <c r="C187" s="75">
        <f>IF(FY_IFRS_PL!$B$4="Выбор языка: РУССКИЙ",1,2)</f>
        <v>1</v>
      </c>
    </row>
    <row r="188" spans="1:10" x14ac:dyDescent="0.3">
      <c r="A188" s="15"/>
      <c r="B188" s="82"/>
      <c r="C188" s="90" t="s">
        <v>114</v>
      </c>
      <c r="D188" s="91" t="s">
        <v>42</v>
      </c>
      <c r="E188" s="91" t="s">
        <v>43</v>
      </c>
      <c r="F188" s="91"/>
      <c r="G188" s="92"/>
      <c r="H188" s="15"/>
    </row>
    <row r="189" spans="1:10" x14ac:dyDescent="0.3">
      <c r="A189" s="15"/>
      <c r="B189" s="82"/>
      <c r="C189" s="90"/>
      <c r="D189" s="91" t="s">
        <v>548</v>
      </c>
      <c r="E189" s="91" t="s">
        <v>549</v>
      </c>
      <c r="F189" s="91"/>
      <c r="G189" s="92"/>
      <c r="H189" s="15"/>
    </row>
    <row r="190" spans="1:10" x14ac:dyDescent="0.3">
      <c r="A190" s="15"/>
      <c r="B190" s="82"/>
      <c r="C190" s="90"/>
      <c r="D190" s="91"/>
      <c r="E190" s="91"/>
      <c r="F190" s="91"/>
      <c r="G190" s="92"/>
      <c r="H190" s="15"/>
    </row>
    <row r="191" spans="1:10" x14ac:dyDescent="0.3">
      <c r="A191" s="15"/>
      <c r="B191" s="82"/>
      <c r="C191" s="90"/>
      <c r="D191" s="92">
        <v>2014</v>
      </c>
      <c r="E191" s="92">
        <v>2015</v>
      </c>
      <c r="F191" s="92">
        <v>2016</v>
      </c>
      <c r="G191" s="92">
        <v>2017</v>
      </c>
      <c r="H191" s="92">
        <v>2018</v>
      </c>
      <c r="I191" s="92">
        <v>2019</v>
      </c>
      <c r="J191" s="92">
        <v>2020</v>
      </c>
    </row>
    <row r="192" spans="1:10" x14ac:dyDescent="0.3">
      <c r="A192" s="15"/>
      <c r="B192" s="82"/>
      <c r="C192" s="90"/>
      <c r="D192" s="92">
        <v>2014</v>
      </c>
      <c r="E192" s="92">
        <v>2015</v>
      </c>
      <c r="F192" s="92">
        <v>2016</v>
      </c>
      <c r="G192" s="92">
        <v>2017</v>
      </c>
      <c r="H192" s="92">
        <v>2018</v>
      </c>
      <c r="I192" s="92">
        <v>2019</v>
      </c>
      <c r="J192" s="92">
        <v>2020</v>
      </c>
    </row>
    <row r="193" spans="1:8" x14ac:dyDescent="0.3">
      <c r="A193" s="15"/>
      <c r="B193" s="82"/>
      <c r="C193" s="13"/>
      <c r="D193" s="9"/>
      <c r="E193" s="28"/>
      <c r="F193" s="28"/>
      <c r="G193" s="28"/>
      <c r="H193" s="15"/>
    </row>
    <row r="194" spans="1:8" x14ac:dyDescent="0.3">
      <c r="A194" s="15"/>
      <c r="B194" s="82"/>
      <c r="C194" s="96">
        <f>IF(HY_IFRS_PL!$B$4="Выбор языка: РУССКИЙ",1,2)</f>
        <v>1</v>
      </c>
      <c r="G194" s="28"/>
      <c r="H194" s="15"/>
    </row>
    <row r="195" spans="1:8" x14ac:dyDescent="0.3">
      <c r="A195" s="15"/>
      <c r="B195" s="82"/>
      <c r="C195" s="93" t="s">
        <v>115</v>
      </c>
      <c r="D195" s="94" t="s">
        <v>42</v>
      </c>
      <c r="E195" s="94" t="s">
        <v>43</v>
      </c>
      <c r="F195" s="94"/>
      <c r="G195" s="28"/>
      <c r="H195" s="15"/>
    </row>
    <row r="196" spans="1:8" x14ac:dyDescent="0.3">
      <c r="A196" s="15"/>
      <c r="B196" s="82"/>
      <c r="C196" s="93"/>
      <c r="D196" s="94" t="s">
        <v>548</v>
      </c>
      <c r="E196" s="94" t="s">
        <v>549</v>
      </c>
      <c r="F196" s="94"/>
      <c r="G196" s="28"/>
      <c r="H196" s="15"/>
    </row>
    <row r="197" spans="1:8" x14ac:dyDescent="0.3">
      <c r="A197" s="15"/>
      <c r="B197" s="82"/>
      <c r="C197" s="93"/>
      <c r="D197" s="94"/>
      <c r="E197" s="94"/>
      <c r="F197" s="94"/>
      <c r="G197" s="28"/>
      <c r="H197" s="15"/>
    </row>
    <row r="198" spans="1:8" x14ac:dyDescent="0.3">
      <c r="A198" s="15"/>
      <c r="B198" s="82"/>
      <c r="C198" s="93"/>
      <c r="D198" s="95" t="s">
        <v>110</v>
      </c>
      <c r="E198" s="95" t="s">
        <v>111</v>
      </c>
      <c r="F198" s="95" t="s">
        <v>578</v>
      </c>
      <c r="G198" s="28" t="s">
        <v>723</v>
      </c>
      <c r="H198" s="15" t="s">
        <v>758</v>
      </c>
    </row>
    <row r="199" spans="1:8" x14ac:dyDescent="0.3">
      <c r="A199" s="15"/>
      <c r="B199" s="82"/>
      <c r="C199" s="93"/>
      <c r="D199" s="95" t="s">
        <v>112</v>
      </c>
      <c r="E199" s="95" t="s">
        <v>113</v>
      </c>
      <c r="F199" s="95" t="s">
        <v>579</v>
      </c>
      <c r="G199" s="28" t="s">
        <v>724</v>
      </c>
      <c r="H199" s="15" t="s">
        <v>759</v>
      </c>
    </row>
    <row r="200" spans="1:8" x14ac:dyDescent="0.3">
      <c r="A200" s="15"/>
      <c r="B200" s="82"/>
      <c r="C200" s="13"/>
      <c r="D200" s="9"/>
      <c r="E200" s="28"/>
      <c r="F200" s="28"/>
      <c r="G200" s="28"/>
      <c r="H200" s="15"/>
    </row>
    <row r="201" spans="1:8" x14ac:dyDescent="0.3">
      <c r="A201" s="15"/>
      <c r="B201" s="82"/>
      <c r="C201" s="13"/>
      <c r="D201" s="9"/>
      <c r="E201" s="28"/>
      <c r="F201" s="28"/>
      <c r="G201" s="28"/>
      <c r="H201" s="15"/>
    </row>
    <row r="202" spans="1:8" x14ac:dyDescent="0.3">
      <c r="A202" s="15"/>
      <c r="B202" s="82"/>
      <c r="C202" s="76" t="s">
        <v>80</v>
      </c>
      <c r="D202" s="76" t="s">
        <v>138</v>
      </c>
    </row>
    <row r="203" spans="1:8" x14ac:dyDescent="0.3">
      <c r="A203" s="15"/>
      <c r="B203" s="82"/>
      <c r="C203" s="43" t="s">
        <v>81</v>
      </c>
      <c r="D203" s="43" t="s">
        <v>139</v>
      </c>
      <c r="E203" s="15"/>
      <c r="F203" s="15"/>
      <c r="G203" s="15"/>
      <c r="H203" s="15"/>
    </row>
    <row r="204" spans="1:8" x14ac:dyDescent="0.3">
      <c r="A204" s="15"/>
      <c r="B204" s="82"/>
      <c r="C204" s="44" t="s">
        <v>82</v>
      </c>
      <c r="D204" s="44" t="s">
        <v>116</v>
      </c>
      <c r="E204" s="33"/>
      <c r="F204" s="33"/>
      <c r="G204" s="15"/>
      <c r="H204" s="15"/>
    </row>
    <row r="205" spans="1:8" x14ac:dyDescent="0.3">
      <c r="A205" s="15"/>
      <c r="B205" s="82"/>
      <c r="C205" s="77" t="s">
        <v>83</v>
      </c>
      <c r="D205" s="77"/>
      <c r="E205" s="33"/>
      <c r="F205" s="33"/>
      <c r="G205" s="15"/>
      <c r="H205" s="15"/>
    </row>
    <row r="206" spans="1:8" x14ac:dyDescent="0.3">
      <c r="A206" s="15"/>
      <c r="B206" s="82"/>
      <c r="C206" s="40" t="str">
        <f>""</f>
        <v/>
      </c>
      <c r="D206" s="40"/>
      <c r="E206" s="15"/>
      <c r="F206" s="15"/>
      <c r="G206" s="15"/>
      <c r="H206" s="15"/>
    </row>
    <row r="207" spans="1:8" x14ac:dyDescent="0.3">
      <c r="A207" s="15"/>
      <c r="B207" s="82"/>
      <c r="C207" s="41" t="s">
        <v>84</v>
      </c>
      <c r="D207" s="41" t="s">
        <v>140</v>
      </c>
      <c r="E207" s="28"/>
      <c r="F207" s="28"/>
      <c r="G207" s="28"/>
      <c r="H207" s="15"/>
    </row>
    <row r="208" spans="1:8" x14ac:dyDescent="0.3">
      <c r="A208" s="15"/>
      <c r="B208" s="82"/>
      <c r="C208" s="40" t="str">
        <f>""</f>
        <v/>
      </c>
      <c r="D208" s="40"/>
      <c r="E208" s="28"/>
      <c r="F208" s="28"/>
      <c r="G208" s="28"/>
      <c r="H208" s="15"/>
    </row>
    <row r="209" spans="1:8" x14ac:dyDescent="0.3">
      <c r="A209" s="15"/>
      <c r="B209" s="82"/>
      <c r="C209" s="40" t="str">
        <f>""</f>
        <v/>
      </c>
      <c r="D209" s="40"/>
      <c r="E209" s="15"/>
      <c r="F209" s="15"/>
      <c r="G209" s="15"/>
      <c r="H209" s="15"/>
    </row>
    <row r="210" spans="1:8" x14ac:dyDescent="0.3">
      <c r="A210" s="15"/>
      <c r="B210" s="82"/>
      <c r="C210" s="42" t="s">
        <v>85</v>
      </c>
      <c r="D210" s="42" t="s">
        <v>117</v>
      </c>
      <c r="E210" s="15"/>
      <c r="F210" s="15"/>
      <c r="G210" s="15"/>
      <c r="H210" s="15"/>
    </row>
    <row r="211" spans="1:8" x14ac:dyDescent="0.3">
      <c r="A211" s="15"/>
      <c r="B211" s="82"/>
      <c r="C211" s="78" t="s">
        <v>86</v>
      </c>
      <c r="D211" s="78"/>
      <c r="E211" s="15"/>
      <c r="F211" s="15"/>
      <c r="G211" s="15"/>
      <c r="H211" s="15"/>
    </row>
    <row r="212" spans="1:8" x14ac:dyDescent="0.3">
      <c r="A212" s="15"/>
      <c r="B212" s="82"/>
      <c r="C212" s="42" t="s">
        <v>87</v>
      </c>
      <c r="D212" s="42" t="s">
        <v>118</v>
      </c>
      <c r="E212" s="15"/>
      <c r="F212" s="15"/>
      <c r="G212" s="15"/>
      <c r="H212" s="15"/>
    </row>
    <row r="213" spans="1:8" x14ac:dyDescent="0.3">
      <c r="A213" s="15"/>
      <c r="B213" s="82"/>
      <c r="C213" s="78" t="s">
        <v>86</v>
      </c>
      <c r="D213" s="78"/>
      <c r="E213" s="15"/>
      <c r="F213" s="15"/>
      <c r="G213" s="15"/>
      <c r="H213" s="15"/>
    </row>
    <row r="214" spans="1:8" x14ac:dyDescent="0.3">
      <c r="A214" s="15"/>
      <c r="B214" s="82"/>
      <c r="C214" s="42" t="s">
        <v>88</v>
      </c>
      <c r="D214" s="42" t="s">
        <v>119</v>
      </c>
      <c r="E214" s="15"/>
      <c r="F214" s="15"/>
      <c r="G214" s="15"/>
      <c r="H214" s="15"/>
    </row>
    <row r="215" spans="1:8" x14ac:dyDescent="0.3">
      <c r="A215" s="15"/>
      <c r="B215" s="82"/>
      <c r="C215" s="78" t="s">
        <v>86</v>
      </c>
      <c r="D215" s="78"/>
      <c r="E215" s="15"/>
      <c r="F215" s="15"/>
      <c r="G215" s="15"/>
      <c r="H215" s="15"/>
    </row>
    <row r="216" spans="1:8" x14ac:dyDescent="0.3">
      <c r="A216" s="15"/>
      <c r="B216" s="82"/>
      <c r="C216" s="42" t="s">
        <v>89</v>
      </c>
      <c r="D216" s="42" t="s">
        <v>120</v>
      </c>
      <c r="E216" s="15"/>
      <c r="F216" s="15"/>
      <c r="G216" s="15"/>
      <c r="H216" s="15"/>
    </row>
    <row r="217" spans="1:8" x14ac:dyDescent="0.3">
      <c r="A217" s="15"/>
      <c r="B217" s="82"/>
      <c r="C217" s="78" t="s">
        <v>86</v>
      </c>
      <c r="D217" s="78"/>
      <c r="E217" s="15"/>
      <c r="F217" s="15"/>
      <c r="G217" s="15"/>
      <c r="H217" s="15"/>
    </row>
    <row r="218" spans="1:8" x14ac:dyDescent="0.3">
      <c r="A218" s="15"/>
      <c r="B218" s="82"/>
      <c r="C218" s="42" t="s">
        <v>90</v>
      </c>
      <c r="D218" s="42" t="s">
        <v>188</v>
      </c>
      <c r="E218" s="15"/>
      <c r="F218" s="15"/>
      <c r="G218" s="15"/>
      <c r="H218" s="15"/>
    </row>
    <row r="219" spans="1:8" x14ac:dyDescent="0.3">
      <c r="A219" s="15"/>
      <c r="B219" s="82"/>
      <c r="C219" s="78" t="s">
        <v>86</v>
      </c>
      <c r="D219" s="78"/>
      <c r="E219" s="15"/>
      <c r="F219" s="15"/>
      <c r="G219" s="15"/>
      <c r="H219" s="15"/>
    </row>
    <row r="220" spans="1:8" x14ac:dyDescent="0.3">
      <c r="A220" s="15"/>
      <c r="B220" s="82"/>
      <c r="C220" s="42" t="s">
        <v>49</v>
      </c>
      <c r="D220" s="42" t="s">
        <v>189</v>
      </c>
      <c r="E220" s="15"/>
      <c r="F220" s="15"/>
      <c r="G220" s="15"/>
      <c r="H220" s="15"/>
    </row>
    <row r="221" spans="1:8" x14ac:dyDescent="0.3">
      <c r="A221" s="15"/>
      <c r="B221" s="82"/>
      <c r="C221" s="42" t="s">
        <v>651</v>
      </c>
      <c r="D221" s="42" t="s">
        <v>652</v>
      </c>
      <c r="E221" s="15"/>
      <c r="F221" s="15"/>
      <c r="G221" s="15"/>
      <c r="H221" s="15"/>
    </row>
    <row r="222" spans="1:8" x14ac:dyDescent="0.3">
      <c r="A222" s="15"/>
      <c r="B222" s="82"/>
      <c r="C222" s="78" t="s">
        <v>86</v>
      </c>
      <c r="D222" s="78"/>
      <c r="E222" s="15"/>
      <c r="F222" s="15"/>
      <c r="G222" s="15"/>
      <c r="H222" s="15"/>
    </row>
    <row r="223" spans="1:8" x14ac:dyDescent="0.3">
      <c r="A223" s="15"/>
      <c r="B223" s="82"/>
      <c r="C223" s="42" t="s">
        <v>91</v>
      </c>
      <c r="D223" s="42" t="s">
        <v>141</v>
      </c>
      <c r="E223" s="15"/>
      <c r="F223" s="15"/>
      <c r="G223" s="15"/>
      <c r="H223" s="15"/>
    </row>
    <row r="224" spans="1:8" x14ac:dyDescent="0.3">
      <c r="A224" s="15"/>
      <c r="B224" s="82"/>
      <c r="C224" s="78" t="s">
        <v>86</v>
      </c>
      <c r="D224" s="78"/>
      <c r="E224" s="15"/>
      <c r="F224" s="15"/>
      <c r="G224" s="15"/>
      <c r="H224" s="15"/>
    </row>
    <row r="225" spans="1:8" x14ac:dyDescent="0.3">
      <c r="A225" s="15"/>
      <c r="B225" s="82"/>
      <c r="C225" s="42" t="s">
        <v>92</v>
      </c>
      <c r="D225" s="42" t="s">
        <v>121</v>
      </c>
      <c r="E225" s="15"/>
      <c r="F225" s="15"/>
      <c r="G225" s="15"/>
      <c r="H225" s="15"/>
    </row>
    <row r="226" spans="1:8" x14ac:dyDescent="0.3">
      <c r="A226" s="15"/>
      <c r="B226" s="82"/>
      <c r="C226" s="78" t="s">
        <v>86</v>
      </c>
      <c r="D226" s="78"/>
      <c r="E226" s="15"/>
      <c r="F226" s="15"/>
      <c r="G226" s="15"/>
      <c r="H226" s="15"/>
    </row>
    <row r="227" spans="1:8" x14ac:dyDescent="0.3">
      <c r="A227" s="15"/>
      <c r="B227" s="82"/>
      <c r="C227" s="42" t="s">
        <v>93</v>
      </c>
      <c r="D227" s="42" t="s">
        <v>124</v>
      </c>
      <c r="E227" s="15"/>
      <c r="F227" s="15"/>
      <c r="G227" s="15"/>
      <c r="H227" s="15"/>
    </row>
    <row r="228" spans="1:8" x14ac:dyDescent="0.3">
      <c r="A228" s="15"/>
      <c r="B228" s="82"/>
      <c r="C228" s="78" t="s">
        <v>86</v>
      </c>
      <c r="D228" s="78"/>
      <c r="E228" s="15"/>
      <c r="F228" s="15"/>
      <c r="G228" s="15"/>
      <c r="H228" s="15"/>
    </row>
    <row r="229" spans="1:8" x14ac:dyDescent="0.3">
      <c r="A229" s="15"/>
      <c r="B229" s="82"/>
      <c r="C229" s="42" t="s">
        <v>94</v>
      </c>
      <c r="D229" s="42" t="s">
        <v>122</v>
      </c>
      <c r="E229" s="15"/>
      <c r="F229" s="15"/>
      <c r="G229" s="15"/>
      <c r="H229" s="15"/>
    </row>
    <row r="230" spans="1:8" x14ac:dyDescent="0.3">
      <c r="A230" s="15"/>
      <c r="B230" s="82"/>
      <c r="C230" s="78" t="s">
        <v>86</v>
      </c>
      <c r="D230" s="78"/>
      <c r="E230" s="15"/>
      <c r="F230" s="15"/>
      <c r="G230" s="15"/>
      <c r="H230" s="15"/>
    </row>
    <row r="231" spans="1:8" x14ac:dyDescent="0.3">
      <c r="A231" s="15"/>
      <c r="B231" s="82"/>
      <c r="C231" s="42" t="s">
        <v>628</v>
      </c>
      <c r="D231" s="42" t="s">
        <v>629</v>
      </c>
      <c r="E231" s="15"/>
      <c r="F231" s="15"/>
      <c r="G231" s="15"/>
      <c r="H231" s="15"/>
    </row>
    <row r="232" spans="1:8" x14ac:dyDescent="0.3">
      <c r="A232" s="15"/>
      <c r="B232" s="82"/>
      <c r="C232" s="78"/>
      <c r="D232" s="78"/>
      <c r="E232" s="15"/>
      <c r="F232" s="15"/>
      <c r="G232" s="15"/>
      <c r="H232" s="15"/>
    </row>
    <row r="233" spans="1:8" x14ac:dyDescent="0.3">
      <c r="A233" s="15"/>
      <c r="B233" s="82"/>
      <c r="C233" s="42" t="s">
        <v>95</v>
      </c>
      <c r="D233" s="42" t="s">
        <v>123</v>
      </c>
      <c r="E233" s="15"/>
      <c r="F233" s="15"/>
      <c r="G233" s="15"/>
      <c r="H233" s="15"/>
    </row>
    <row r="234" spans="1:8" x14ac:dyDescent="0.3">
      <c r="A234" s="15"/>
      <c r="B234" s="82"/>
      <c r="C234" s="78" t="s">
        <v>86</v>
      </c>
      <c r="D234" s="78"/>
      <c r="E234" s="15"/>
      <c r="F234" s="15"/>
      <c r="G234" s="15"/>
      <c r="H234" s="15"/>
    </row>
    <row r="235" spans="1:8" x14ac:dyDescent="0.3">
      <c r="A235" s="15"/>
      <c r="B235" s="82"/>
      <c r="C235" s="42" t="s">
        <v>53</v>
      </c>
      <c r="D235" s="103" t="s">
        <v>142</v>
      </c>
      <c r="E235" s="15"/>
      <c r="F235" s="15"/>
      <c r="G235" s="15"/>
      <c r="H235" s="15"/>
    </row>
    <row r="236" spans="1:8" x14ac:dyDescent="0.3">
      <c r="A236" s="15"/>
      <c r="B236" s="82"/>
      <c r="C236" s="78" t="s">
        <v>86</v>
      </c>
      <c r="D236" s="78"/>
      <c r="E236" s="15"/>
      <c r="F236" s="15"/>
      <c r="G236" s="15"/>
      <c r="H236" s="15"/>
    </row>
    <row r="237" spans="1:8" ht="28.8" x14ac:dyDescent="0.3">
      <c r="A237" s="15"/>
      <c r="B237" s="82"/>
      <c r="C237" s="283" t="s">
        <v>109</v>
      </c>
      <c r="D237" s="284" t="s">
        <v>219</v>
      </c>
      <c r="E237" s="15"/>
      <c r="F237" s="15"/>
      <c r="G237" s="15"/>
      <c r="H237" s="15"/>
    </row>
    <row r="238" spans="1:8" x14ac:dyDescent="0.3">
      <c r="A238" s="15"/>
      <c r="B238" s="82"/>
      <c r="C238" s="42" t="s">
        <v>730</v>
      </c>
      <c r="D238" s="276" t="s">
        <v>731</v>
      </c>
      <c r="E238" s="15"/>
      <c r="F238" s="15"/>
      <c r="G238" s="15"/>
      <c r="H238" s="15"/>
    </row>
    <row r="239" spans="1:8" x14ac:dyDescent="0.3">
      <c r="A239" s="74"/>
      <c r="B239" s="83"/>
      <c r="C239" s="78" t="s">
        <v>86</v>
      </c>
      <c r="D239" s="78"/>
    </row>
    <row r="240" spans="1:8" x14ac:dyDescent="0.3">
      <c r="A240" s="74"/>
      <c r="B240" s="83"/>
      <c r="C240" s="42" t="s">
        <v>108</v>
      </c>
      <c r="D240" s="42" t="s">
        <v>125</v>
      </c>
    </row>
    <row r="241" spans="1:4" x14ac:dyDescent="0.3">
      <c r="A241" s="74"/>
      <c r="B241" s="83"/>
      <c r="C241" s="78" t="s">
        <v>86</v>
      </c>
      <c r="D241" s="78"/>
    </row>
    <row r="242" spans="1:4" x14ac:dyDescent="0.3">
      <c r="A242" s="74"/>
      <c r="B242" s="83"/>
      <c r="C242" s="40" t="str">
        <f>""</f>
        <v/>
      </c>
      <c r="D242" s="40"/>
    </row>
    <row r="243" spans="1:4" x14ac:dyDescent="0.3">
      <c r="A243" s="74"/>
      <c r="B243" s="83"/>
      <c r="C243" s="43" t="s">
        <v>97</v>
      </c>
      <c r="D243" s="43" t="s">
        <v>126</v>
      </c>
    </row>
    <row r="244" spans="1:4" x14ac:dyDescent="0.3">
      <c r="A244" s="74"/>
      <c r="B244" s="83"/>
      <c r="C244" s="43" t="s">
        <v>96</v>
      </c>
      <c r="D244" s="43" t="s">
        <v>125</v>
      </c>
    </row>
    <row r="245" spans="1:4" x14ac:dyDescent="0.3">
      <c r="A245" s="74"/>
      <c r="B245" s="83"/>
      <c r="C245" s="44" t="s">
        <v>98</v>
      </c>
      <c r="D245" s="44" t="s">
        <v>127</v>
      </c>
    </row>
    <row r="246" spans="1:4" x14ac:dyDescent="0.3">
      <c r="A246" s="74"/>
      <c r="B246" s="83"/>
      <c r="C246" s="40" t="str">
        <f>""</f>
        <v/>
      </c>
      <c r="D246" s="40"/>
    </row>
    <row r="247" spans="1:4" x14ac:dyDescent="0.3">
      <c r="A247" s="74"/>
      <c r="B247" s="83"/>
      <c r="C247" s="43" t="s">
        <v>99</v>
      </c>
      <c r="D247" s="43" t="s">
        <v>128</v>
      </c>
    </row>
    <row r="248" spans="1:4" x14ac:dyDescent="0.3">
      <c r="A248" s="74"/>
      <c r="B248" s="83"/>
      <c r="C248" s="43" t="s">
        <v>100</v>
      </c>
      <c r="D248" s="43" t="s">
        <v>129</v>
      </c>
    </row>
    <row r="249" spans="1:4" x14ac:dyDescent="0.3">
      <c r="A249" s="74"/>
      <c r="B249" s="83"/>
      <c r="C249" s="44" t="s">
        <v>101</v>
      </c>
      <c r="D249" s="44" t="s">
        <v>130</v>
      </c>
    </row>
    <row r="250" spans="1:4" x14ac:dyDescent="0.3">
      <c r="A250" s="74"/>
      <c r="B250" s="83"/>
      <c r="C250" s="40" t="str">
        <f>""</f>
        <v/>
      </c>
      <c r="D250" s="40"/>
    </row>
    <row r="251" spans="1:4" x14ac:dyDescent="0.3">
      <c r="A251" s="74"/>
      <c r="B251" s="83"/>
      <c r="C251" s="44" t="s">
        <v>102</v>
      </c>
      <c r="D251" s="44" t="s">
        <v>131</v>
      </c>
    </row>
    <row r="252" spans="1:4" x14ac:dyDescent="0.3">
      <c r="A252" s="74"/>
      <c r="B252" s="83"/>
      <c r="C252" s="40" t="str">
        <f>""</f>
        <v/>
      </c>
      <c r="D252" s="40"/>
    </row>
    <row r="253" spans="1:4" x14ac:dyDescent="0.3">
      <c r="A253" s="74"/>
      <c r="B253" s="83"/>
      <c r="C253" s="45" t="s">
        <v>103</v>
      </c>
      <c r="D253" s="45" t="s">
        <v>132</v>
      </c>
    </row>
    <row r="254" spans="1:4" x14ac:dyDescent="0.3">
      <c r="A254" s="74"/>
      <c r="B254" s="83"/>
      <c r="C254" s="43" t="s">
        <v>104</v>
      </c>
      <c r="D254" s="43" t="s">
        <v>133</v>
      </c>
    </row>
    <row r="255" spans="1:4" x14ac:dyDescent="0.3">
      <c r="A255" s="74"/>
      <c r="B255" s="83"/>
      <c r="C255" s="45" t="s">
        <v>105</v>
      </c>
      <c r="D255" s="45" t="s">
        <v>134</v>
      </c>
    </row>
    <row r="256" spans="1:4" x14ac:dyDescent="0.3">
      <c r="A256" s="74"/>
      <c r="B256" s="83"/>
      <c r="C256" s="79" t="s">
        <v>106</v>
      </c>
      <c r="D256" s="79" t="s">
        <v>135</v>
      </c>
    </row>
    <row r="257" spans="1:10" x14ac:dyDescent="0.3">
      <c r="A257" s="74"/>
      <c r="B257" s="83"/>
      <c r="C257" s="45" t="s">
        <v>107</v>
      </c>
      <c r="D257" s="45" t="s">
        <v>136</v>
      </c>
    </row>
    <row r="258" spans="1:10" x14ac:dyDescent="0.3">
      <c r="A258" s="74"/>
      <c r="B258" s="83"/>
      <c r="C258" s="80"/>
    </row>
    <row r="259" spans="1:10" x14ac:dyDescent="0.3">
      <c r="A259" s="74"/>
      <c r="B259" s="83"/>
      <c r="C259" s="15" t="s">
        <v>735</v>
      </c>
      <c r="D259" s="15" t="s">
        <v>734</v>
      </c>
    </row>
    <row r="260" spans="1:10" x14ac:dyDescent="0.3">
      <c r="A260" s="74"/>
      <c r="B260" s="83"/>
      <c r="C260" s="15" t="s">
        <v>732</v>
      </c>
      <c r="D260" s="15" t="s">
        <v>733</v>
      </c>
    </row>
    <row r="261" spans="1:10" x14ac:dyDescent="0.3">
      <c r="A261" s="74"/>
      <c r="B261" s="83"/>
      <c r="C261" s="80"/>
    </row>
    <row r="262" spans="1:10" x14ac:dyDescent="0.3">
      <c r="B262" s="82">
        <v>4</v>
      </c>
      <c r="C262" s="102" t="s">
        <v>222</v>
      </c>
    </row>
    <row r="263" spans="1:10" x14ac:dyDescent="0.3">
      <c r="B263" s="82"/>
      <c r="C263" s="102"/>
    </row>
    <row r="264" spans="1:10" x14ac:dyDescent="0.3">
      <c r="B264" s="82"/>
      <c r="C264" s="74"/>
    </row>
    <row r="265" spans="1:10" x14ac:dyDescent="0.3">
      <c r="B265" s="82"/>
      <c r="C265" s="75">
        <f>IF(FY_IFRS_EBITDA!$B$4="Выбор языка: РУССКИЙ",1,2)</f>
        <v>1</v>
      </c>
    </row>
    <row r="266" spans="1:10" x14ac:dyDescent="0.3">
      <c r="B266" s="82"/>
      <c r="C266" s="90" t="s">
        <v>114</v>
      </c>
      <c r="D266" s="91" t="s">
        <v>42</v>
      </c>
      <c r="E266" s="91" t="s">
        <v>43</v>
      </c>
      <c r="F266" s="91"/>
      <c r="G266" s="92"/>
    </row>
    <row r="267" spans="1:10" x14ac:dyDescent="0.3">
      <c r="B267" s="82"/>
      <c r="C267" s="90"/>
      <c r="D267" s="91" t="s">
        <v>548</v>
      </c>
      <c r="E267" s="91" t="s">
        <v>549</v>
      </c>
      <c r="F267" s="91"/>
      <c r="G267" s="92"/>
    </row>
    <row r="268" spans="1:10" x14ac:dyDescent="0.3">
      <c r="B268" s="82"/>
      <c r="C268" s="90"/>
      <c r="D268" s="91"/>
      <c r="E268" s="91"/>
      <c r="F268" s="91"/>
      <c r="G268" s="92"/>
    </row>
    <row r="269" spans="1:10" x14ac:dyDescent="0.3">
      <c r="B269" s="82"/>
      <c r="C269" s="90"/>
      <c r="D269" s="92">
        <v>2014</v>
      </c>
      <c r="E269" s="92">
        <v>2015</v>
      </c>
      <c r="F269" s="92">
        <v>2016</v>
      </c>
      <c r="G269" s="92">
        <v>2017</v>
      </c>
      <c r="H269" s="92">
        <v>2018</v>
      </c>
      <c r="I269" s="92">
        <v>2019</v>
      </c>
      <c r="J269" s="92">
        <v>2020</v>
      </c>
    </row>
    <row r="270" spans="1:10" x14ac:dyDescent="0.3">
      <c r="B270" s="82"/>
      <c r="C270" s="90"/>
      <c r="D270" s="92">
        <v>2014</v>
      </c>
      <c r="E270" s="92">
        <v>2015</v>
      </c>
      <c r="F270" s="92">
        <v>2016</v>
      </c>
      <c r="G270" s="92">
        <v>2017</v>
      </c>
      <c r="H270" s="92">
        <v>2018</v>
      </c>
      <c r="I270" s="92">
        <v>2019</v>
      </c>
      <c r="J270" s="92">
        <v>2020</v>
      </c>
    </row>
    <row r="271" spans="1:10" x14ac:dyDescent="0.3">
      <c r="B271" s="82"/>
      <c r="C271" s="13"/>
      <c r="D271" s="9"/>
      <c r="E271" s="28"/>
      <c r="F271" s="28"/>
    </row>
    <row r="272" spans="1:10" x14ac:dyDescent="0.3">
      <c r="B272" s="82"/>
      <c r="C272" s="96">
        <f>IF(HY_IFRS_EBITDA!$B$4="Выбор языка: РУССКИЙ",1,2)</f>
        <v>1</v>
      </c>
    </row>
    <row r="273" spans="2:10" x14ac:dyDescent="0.3">
      <c r="B273" s="82"/>
      <c r="C273" s="93" t="s">
        <v>115</v>
      </c>
      <c r="D273" s="94" t="s">
        <v>42</v>
      </c>
      <c r="E273" s="94" t="s">
        <v>43</v>
      </c>
      <c r="F273" s="94"/>
    </row>
    <row r="274" spans="2:10" x14ac:dyDescent="0.3">
      <c r="B274" s="82"/>
      <c r="C274" s="93"/>
      <c r="D274" s="94" t="s">
        <v>548</v>
      </c>
      <c r="E274" s="94" t="s">
        <v>549</v>
      </c>
      <c r="F274" s="94"/>
    </row>
    <row r="275" spans="2:10" x14ac:dyDescent="0.3">
      <c r="B275" s="82"/>
      <c r="C275" s="93"/>
      <c r="D275" s="94"/>
      <c r="E275" s="94"/>
      <c r="F275" s="94"/>
    </row>
    <row r="276" spans="2:10" x14ac:dyDescent="0.3">
      <c r="B276" s="82"/>
      <c r="C276" s="93"/>
      <c r="D276" s="95" t="s">
        <v>110</v>
      </c>
      <c r="E276" s="95" t="s">
        <v>111</v>
      </c>
      <c r="F276" s="95" t="s">
        <v>578</v>
      </c>
      <c r="G276" t="s">
        <v>723</v>
      </c>
      <c r="H276" t="s">
        <v>758</v>
      </c>
      <c r="I276" t="s">
        <v>723</v>
      </c>
      <c r="J276" t="s">
        <v>758</v>
      </c>
    </row>
    <row r="277" spans="2:10" x14ac:dyDescent="0.3">
      <c r="B277" s="82"/>
      <c r="C277" s="93"/>
      <c r="D277" s="95" t="s">
        <v>112</v>
      </c>
      <c r="E277" s="95" t="s">
        <v>113</v>
      </c>
      <c r="F277" s="95" t="s">
        <v>579</v>
      </c>
      <c r="G277" t="s">
        <v>724</v>
      </c>
      <c r="H277" t="s">
        <v>759</v>
      </c>
      <c r="I277" t="s">
        <v>724</v>
      </c>
      <c r="J277" t="s">
        <v>759</v>
      </c>
    </row>
    <row r="279" spans="2:10" x14ac:dyDescent="0.3">
      <c r="C279" s="80"/>
      <c r="D279" s="80"/>
      <c r="E279" s="80"/>
    </row>
    <row r="280" spans="2:10" x14ac:dyDescent="0.3">
      <c r="C280" s="111" t="s">
        <v>80</v>
      </c>
      <c r="D280" s="111" t="s">
        <v>138</v>
      </c>
      <c r="E280" s="80"/>
    </row>
    <row r="281" spans="2:10" x14ac:dyDescent="0.3">
      <c r="C281" s="112"/>
      <c r="D281" s="112"/>
      <c r="E281" s="80"/>
    </row>
    <row r="282" spans="2:10" x14ac:dyDescent="0.3">
      <c r="C282" s="41" t="s">
        <v>98</v>
      </c>
      <c r="D282" s="41" t="s">
        <v>127</v>
      </c>
      <c r="E282" s="80"/>
    </row>
    <row r="283" spans="2:10" x14ac:dyDescent="0.3">
      <c r="C283" s="41"/>
      <c r="D283" s="41"/>
      <c r="E283" s="80"/>
    </row>
    <row r="284" spans="2:10" x14ac:dyDescent="0.3">
      <c r="C284" s="43" t="s">
        <v>223</v>
      </c>
      <c r="D284" s="43" t="s">
        <v>227</v>
      </c>
      <c r="E284" s="80"/>
    </row>
    <row r="285" spans="2:10" x14ac:dyDescent="0.3">
      <c r="C285" s="44" t="s">
        <v>222</v>
      </c>
      <c r="D285" s="44" t="s">
        <v>222</v>
      </c>
      <c r="E285" s="80"/>
    </row>
    <row r="286" spans="2:10" x14ac:dyDescent="0.3">
      <c r="C286" s="77" t="s">
        <v>228</v>
      </c>
      <c r="D286" s="77" t="s">
        <v>224</v>
      </c>
      <c r="E286" s="80"/>
    </row>
    <row r="287" spans="2:10" x14ac:dyDescent="0.3">
      <c r="C287" s="77"/>
      <c r="D287" s="77"/>
      <c r="E287" s="80"/>
    </row>
    <row r="288" spans="2:10" x14ac:dyDescent="0.3">
      <c r="C288" s="77"/>
      <c r="D288" s="77"/>
      <c r="E288" s="80"/>
    </row>
    <row r="289" spans="2:7" x14ac:dyDescent="0.3">
      <c r="C289" s="44" t="s">
        <v>648</v>
      </c>
      <c r="D289" s="44" t="s">
        <v>648</v>
      </c>
      <c r="E289" s="80"/>
    </row>
    <row r="290" spans="2:7" x14ac:dyDescent="0.3">
      <c r="C290" s="77" t="s">
        <v>646</v>
      </c>
      <c r="D290" s="77" t="s">
        <v>647</v>
      </c>
      <c r="E290" s="80"/>
    </row>
    <row r="291" spans="2:7" x14ac:dyDescent="0.3">
      <c r="C291" s="77"/>
      <c r="D291" s="77"/>
      <c r="E291" s="80"/>
    </row>
    <row r="292" spans="2:7" x14ac:dyDescent="0.3">
      <c r="C292" s="43" t="s">
        <v>230</v>
      </c>
      <c r="D292" s="43" t="s">
        <v>231</v>
      </c>
      <c r="E292" s="80"/>
    </row>
    <row r="293" spans="2:7" x14ac:dyDescent="0.3">
      <c r="C293" s="44" t="s">
        <v>225</v>
      </c>
      <c r="D293" s="44" t="s">
        <v>225</v>
      </c>
      <c r="E293" s="80"/>
    </row>
    <row r="294" spans="2:7" x14ac:dyDescent="0.3">
      <c r="C294" s="77" t="s">
        <v>229</v>
      </c>
      <c r="D294" s="77" t="s">
        <v>226</v>
      </c>
      <c r="E294" s="80"/>
    </row>
    <row r="295" spans="2:7" x14ac:dyDescent="0.3">
      <c r="C295" s="77"/>
      <c r="D295" s="77"/>
      <c r="E295" s="80"/>
    </row>
    <row r="296" spans="2:7" ht="28.8" x14ac:dyDescent="0.3">
      <c r="C296" s="77" t="s">
        <v>650</v>
      </c>
      <c r="D296" s="77" t="s">
        <v>649</v>
      </c>
      <c r="E296" s="80"/>
    </row>
    <row r="297" spans="2:7" x14ac:dyDescent="0.3">
      <c r="C297" s="80"/>
      <c r="D297" s="80"/>
      <c r="E297" s="80"/>
    </row>
    <row r="298" spans="2:7" x14ac:dyDescent="0.3">
      <c r="B298" s="82">
        <v>5</v>
      </c>
      <c r="C298" s="121" t="s">
        <v>233</v>
      </c>
    </row>
    <row r="299" spans="2:7" x14ac:dyDescent="0.3">
      <c r="B299" s="82"/>
      <c r="C299" s="121" t="s">
        <v>232</v>
      </c>
    </row>
    <row r="300" spans="2:7" x14ac:dyDescent="0.3">
      <c r="B300" s="82"/>
      <c r="C300" s="74"/>
    </row>
    <row r="301" spans="2:7" x14ac:dyDescent="0.3">
      <c r="B301" s="82"/>
      <c r="C301" s="119">
        <f>IF(FY_IFRS_Debt!$B$4="Выбор языка: РУССКИЙ",1,2)</f>
        <v>1</v>
      </c>
    </row>
    <row r="302" spans="2:7" x14ac:dyDescent="0.3">
      <c r="B302" s="82"/>
      <c r="C302" s="116" t="s">
        <v>114</v>
      </c>
      <c r="D302" s="117" t="s">
        <v>42</v>
      </c>
      <c r="E302" s="117" t="s">
        <v>43</v>
      </c>
      <c r="F302" s="117"/>
      <c r="G302" s="118"/>
    </row>
    <row r="303" spans="2:7" x14ac:dyDescent="0.3">
      <c r="B303" s="82"/>
      <c r="C303" s="116"/>
      <c r="D303" s="117" t="s">
        <v>548</v>
      </c>
      <c r="E303" s="117" t="s">
        <v>549</v>
      </c>
      <c r="F303" s="117"/>
      <c r="G303" s="118"/>
    </row>
    <row r="304" spans="2:7" x14ac:dyDescent="0.3">
      <c r="B304" s="82"/>
      <c r="C304" s="116"/>
      <c r="D304" s="117"/>
      <c r="E304" s="117"/>
      <c r="F304" s="117"/>
      <c r="G304" s="118"/>
    </row>
    <row r="305" spans="2:10" x14ac:dyDescent="0.3">
      <c r="B305" s="82"/>
      <c r="C305" s="116"/>
      <c r="D305" s="118">
        <v>2014</v>
      </c>
      <c r="E305" s="118">
        <v>2015</v>
      </c>
      <c r="F305" s="118">
        <v>2016</v>
      </c>
      <c r="G305" s="118">
        <v>2017</v>
      </c>
      <c r="H305" s="118">
        <v>2018</v>
      </c>
      <c r="I305" s="118">
        <v>2019</v>
      </c>
      <c r="J305" s="118">
        <v>2020</v>
      </c>
    </row>
    <row r="306" spans="2:10" x14ac:dyDescent="0.3">
      <c r="B306" s="82"/>
      <c r="C306" s="116"/>
      <c r="D306" s="118">
        <v>2014</v>
      </c>
      <c r="E306" s="118">
        <v>2015</v>
      </c>
      <c r="F306" s="118">
        <v>2016</v>
      </c>
      <c r="G306" s="118">
        <v>2017</v>
      </c>
      <c r="H306" s="118">
        <v>2018</v>
      </c>
      <c r="I306" s="118">
        <v>2019</v>
      </c>
      <c r="J306" s="118">
        <v>2020</v>
      </c>
    </row>
    <row r="307" spans="2:10" x14ac:dyDescent="0.3">
      <c r="B307" s="82"/>
      <c r="C307" s="13"/>
      <c r="D307" s="9"/>
      <c r="E307" s="28"/>
      <c r="F307" s="28"/>
    </row>
    <row r="308" spans="2:10" x14ac:dyDescent="0.3">
      <c r="B308" s="82"/>
      <c r="C308" s="120">
        <f>IF(HY_IFRS_Debt!$B$4="Выбор языка: РУССКИЙ",1,2)</f>
        <v>1</v>
      </c>
    </row>
    <row r="309" spans="2:10" ht="18.600000000000001" customHeight="1" x14ac:dyDescent="0.3">
      <c r="B309" s="82"/>
      <c r="C309" s="113" t="s">
        <v>115</v>
      </c>
      <c r="D309" s="114" t="s">
        <v>42</v>
      </c>
      <c r="E309" s="114" t="s">
        <v>43</v>
      </c>
      <c r="F309" s="114"/>
    </row>
    <row r="310" spans="2:10" x14ac:dyDescent="0.3">
      <c r="B310" s="82"/>
      <c r="C310" s="113"/>
      <c r="D310" s="114" t="s">
        <v>548</v>
      </c>
      <c r="E310" s="114" t="s">
        <v>549</v>
      </c>
      <c r="F310" s="114"/>
    </row>
    <row r="311" spans="2:10" x14ac:dyDescent="0.3">
      <c r="B311" s="82"/>
      <c r="C311" s="113"/>
      <c r="D311" s="114"/>
      <c r="E311" s="114"/>
      <c r="F311" s="114"/>
    </row>
    <row r="312" spans="2:10" x14ac:dyDescent="0.3">
      <c r="B312" s="82"/>
      <c r="C312" s="113"/>
      <c r="D312" s="115" t="s">
        <v>250</v>
      </c>
      <c r="E312" s="115" t="s">
        <v>586</v>
      </c>
      <c r="F312" s="115" t="s">
        <v>726</v>
      </c>
      <c r="G312" s="115" t="s">
        <v>760</v>
      </c>
      <c r="H312" s="115" t="s">
        <v>726</v>
      </c>
      <c r="I312" s="115" t="s">
        <v>760</v>
      </c>
    </row>
    <row r="313" spans="2:10" x14ac:dyDescent="0.3">
      <c r="B313" s="82"/>
      <c r="C313" s="113"/>
      <c r="D313" s="115" t="s">
        <v>251</v>
      </c>
      <c r="E313" s="115" t="s">
        <v>587</v>
      </c>
      <c r="F313" s="115" t="s">
        <v>725</v>
      </c>
      <c r="G313" s="115" t="s">
        <v>761</v>
      </c>
      <c r="H313" s="115" t="s">
        <v>725</v>
      </c>
      <c r="I313" s="115" t="s">
        <v>761</v>
      </c>
    </row>
    <row r="316" spans="2:10" x14ac:dyDescent="0.3">
      <c r="C316" s="41" t="s">
        <v>222</v>
      </c>
      <c r="D316" s="41" t="s">
        <v>222</v>
      </c>
      <c r="E316" s="80"/>
    </row>
    <row r="317" spans="2:10" x14ac:dyDescent="0.3">
      <c r="C317" s="112"/>
      <c r="D317" s="112"/>
      <c r="E317" s="80"/>
    </row>
    <row r="318" spans="2:10" x14ac:dyDescent="0.3">
      <c r="C318" s="41" t="s">
        <v>234</v>
      </c>
      <c r="D318" s="41" t="s">
        <v>249</v>
      </c>
      <c r="E318" s="80"/>
    </row>
    <row r="319" spans="2:10" x14ac:dyDescent="0.3">
      <c r="C319" s="43" t="s">
        <v>24</v>
      </c>
      <c r="D319" s="43" t="s">
        <v>168</v>
      </c>
      <c r="E319" s="80"/>
    </row>
    <row r="320" spans="2:10" x14ac:dyDescent="0.3">
      <c r="C320" s="43" t="s">
        <v>25</v>
      </c>
      <c r="D320" s="43" t="s">
        <v>179</v>
      </c>
      <c r="E320" s="80"/>
    </row>
    <row r="321" spans="3:5" x14ac:dyDescent="0.3">
      <c r="C321" s="43" t="s">
        <v>655</v>
      </c>
      <c r="D321" s="43" t="s">
        <v>656</v>
      </c>
      <c r="E321" s="80"/>
    </row>
    <row r="322" spans="3:5" x14ac:dyDescent="0.3">
      <c r="C322" s="43"/>
      <c r="D322" s="43"/>
      <c r="E322" s="80"/>
    </row>
    <row r="323" spans="3:5" x14ac:dyDescent="0.3">
      <c r="C323" s="41" t="s">
        <v>235</v>
      </c>
      <c r="D323" s="41" t="s">
        <v>248</v>
      </c>
      <c r="E323" s="80"/>
    </row>
    <row r="324" spans="3:5" x14ac:dyDescent="0.3">
      <c r="C324" s="43" t="s">
        <v>29</v>
      </c>
      <c r="D324" s="43" t="s">
        <v>172</v>
      </c>
      <c r="E324" s="80"/>
    </row>
    <row r="325" spans="3:5" x14ac:dyDescent="0.3">
      <c r="C325" s="43" t="s">
        <v>31</v>
      </c>
      <c r="D325" s="43" t="s">
        <v>173</v>
      </c>
      <c r="E325" s="80"/>
    </row>
    <row r="326" spans="3:5" x14ac:dyDescent="0.3">
      <c r="C326" s="43" t="s">
        <v>657</v>
      </c>
      <c r="D326" s="43" t="s">
        <v>658</v>
      </c>
      <c r="E326" s="80"/>
    </row>
    <row r="327" spans="3:5" x14ac:dyDescent="0.3">
      <c r="C327" s="43"/>
      <c r="D327" s="43"/>
      <c r="E327" s="80"/>
    </row>
    <row r="328" spans="3:5" x14ac:dyDescent="0.3">
      <c r="C328" s="44" t="s">
        <v>236</v>
      </c>
      <c r="D328" s="44" t="s">
        <v>242</v>
      </c>
      <c r="E328" s="80"/>
    </row>
    <row r="329" spans="3:5" x14ac:dyDescent="0.3">
      <c r="C329" s="77" t="s">
        <v>237</v>
      </c>
      <c r="D329" s="77" t="s">
        <v>243</v>
      </c>
      <c r="E329" s="80"/>
    </row>
    <row r="330" spans="3:5" x14ac:dyDescent="0.3">
      <c r="C330" s="77"/>
      <c r="D330" s="77"/>
      <c r="E330" s="80"/>
    </row>
    <row r="331" spans="3:5" x14ac:dyDescent="0.3">
      <c r="C331" s="43" t="s">
        <v>16</v>
      </c>
      <c r="D331" s="43" t="s">
        <v>158</v>
      </c>
      <c r="E331" s="80"/>
    </row>
    <row r="332" spans="3:5" x14ac:dyDescent="0.3">
      <c r="C332" s="44" t="s">
        <v>238</v>
      </c>
      <c r="D332" s="44" t="s">
        <v>244</v>
      </c>
      <c r="E332" s="80"/>
    </row>
    <row r="333" spans="3:5" x14ac:dyDescent="0.3">
      <c r="C333" s="77" t="s">
        <v>239</v>
      </c>
      <c r="D333" s="77" t="s">
        <v>245</v>
      </c>
      <c r="E333" s="80"/>
    </row>
    <row r="334" spans="3:5" x14ac:dyDescent="0.3">
      <c r="C334" s="80"/>
      <c r="D334" s="80"/>
      <c r="E334" s="80"/>
    </row>
    <row r="335" spans="3:5" x14ac:dyDescent="0.3">
      <c r="C335" s="43" t="s">
        <v>589</v>
      </c>
      <c r="D335" s="43" t="s">
        <v>591</v>
      </c>
      <c r="E335" s="80"/>
    </row>
    <row r="336" spans="3:5" x14ac:dyDescent="0.3">
      <c r="C336" s="43" t="s">
        <v>590</v>
      </c>
      <c r="D336" s="43" t="s">
        <v>592</v>
      </c>
      <c r="E336" s="80"/>
    </row>
    <row r="337" spans="2:6" x14ac:dyDescent="0.3">
      <c r="C337" s="43" t="s">
        <v>746</v>
      </c>
      <c r="D337" s="43" t="s">
        <v>747</v>
      </c>
      <c r="E337" s="80"/>
    </row>
    <row r="338" spans="2:6" x14ac:dyDescent="0.3">
      <c r="C338" s="43" t="s">
        <v>601</v>
      </c>
      <c r="D338" s="43" t="s">
        <v>602</v>
      </c>
      <c r="E338" s="80"/>
    </row>
    <row r="339" spans="2:6" x14ac:dyDescent="0.3">
      <c r="C339" s="69" t="s">
        <v>240</v>
      </c>
      <c r="D339" s="69" t="s">
        <v>246</v>
      </c>
      <c r="E339" s="80"/>
    </row>
    <row r="340" spans="2:6" x14ac:dyDescent="0.3">
      <c r="C340" s="122" t="s">
        <v>241</v>
      </c>
      <c r="D340" s="122" t="s">
        <v>247</v>
      </c>
      <c r="E340" s="80"/>
    </row>
    <row r="342" spans="2:6" x14ac:dyDescent="0.3">
      <c r="C342" s="80"/>
      <c r="D342" s="80"/>
      <c r="E342" s="80"/>
    </row>
    <row r="343" spans="2:6" x14ac:dyDescent="0.3">
      <c r="B343" s="81">
        <v>6</v>
      </c>
      <c r="C343" s="129" t="s">
        <v>254</v>
      </c>
    </row>
    <row r="344" spans="2:6" x14ac:dyDescent="0.3">
      <c r="C344" s="129" t="s">
        <v>255</v>
      </c>
    </row>
    <row r="346" spans="2:6" x14ac:dyDescent="0.3">
      <c r="C346" s="34" t="e">
        <f>IF(#REF!="Выбор языка: РУССКИЙ",1,2)</f>
        <v>#REF!</v>
      </c>
    </row>
    <row r="348" spans="2:6" x14ac:dyDescent="0.3">
      <c r="C348" s="130" t="s">
        <v>256</v>
      </c>
      <c r="D348" s="130" t="s">
        <v>257</v>
      </c>
      <c r="E348" s="130" t="s">
        <v>258</v>
      </c>
      <c r="F348" s="130" t="s">
        <v>259</v>
      </c>
    </row>
    <row r="349" spans="2:6" x14ac:dyDescent="0.3">
      <c r="C349" s="4" t="s">
        <v>260</v>
      </c>
      <c r="D349" s="3" t="s">
        <v>261</v>
      </c>
      <c r="E349" s="4" t="s">
        <v>262</v>
      </c>
      <c r="F349" s="4" t="s">
        <v>263</v>
      </c>
    </row>
    <row r="350" spans="2:6" x14ac:dyDescent="0.3">
      <c r="C350" s="4" t="s">
        <v>260</v>
      </c>
      <c r="D350" s="3" t="s">
        <v>264</v>
      </c>
      <c r="E350" s="4" t="s">
        <v>262</v>
      </c>
      <c r="F350" s="4" t="s">
        <v>265</v>
      </c>
    </row>
    <row r="351" spans="2:6" x14ac:dyDescent="0.3">
      <c r="C351" s="4" t="s">
        <v>266</v>
      </c>
      <c r="D351" s="3" t="s">
        <v>267</v>
      </c>
      <c r="E351" s="4" t="s">
        <v>268</v>
      </c>
      <c r="F351" s="4" t="s">
        <v>269</v>
      </c>
    </row>
    <row r="352" spans="2:6" x14ac:dyDescent="0.3">
      <c r="C352" s="4" t="s">
        <v>270</v>
      </c>
      <c r="D352" s="3" t="s">
        <v>271</v>
      </c>
      <c r="E352" s="4" t="s">
        <v>272</v>
      </c>
      <c r="F352" s="3" t="s">
        <v>271</v>
      </c>
    </row>
    <row r="353" spans="3:6" x14ac:dyDescent="0.3">
      <c r="C353" s="4" t="s">
        <v>273</v>
      </c>
      <c r="D353" s="3" t="s">
        <v>271</v>
      </c>
      <c r="E353" s="4" t="s">
        <v>274</v>
      </c>
      <c r="F353" s="3" t="s">
        <v>271</v>
      </c>
    </row>
    <row r="354" spans="3:6" x14ac:dyDescent="0.3">
      <c r="C354" s="4" t="s">
        <v>275</v>
      </c>
      <c r="D354" s="3" t="s">
        <v>276</v>
      </c>
      <c r="E354" s="4" t="s">
        <v>277</v>
      </c>
      <c r="F354" s="3" t="s">
        <v>276</v>
      </c>
    </row>
    <row r="355" spans="3:6" x14ac:dyDescent="0.3">
      <c r="C355" s="4" t="s">
        <v>278</v>
      </c>
      <c r="D355" s="3" t="s">
        <v>276</v>
      </c>
      <c r="E355" s="4" t="s">
        <v>279</v>
      </c>
      <c r="F355" s="3" t="s">
        <v>276</v>
      </c>
    </row>
    <row r="356" spans="3:6" x14ac:dyDescent="0.3">
      <c r="C356" s="4" t="s">
        <v>280</v>
      </c>
      <c r="D356" s="3" t="s">
        <v>271</v>
      </c>
      <c r="E356" s="4" t="s">
        <v>281</v>
      </c>
      <c r="F356" s="3" t="s">
        <v>271</v>
      </c>
    </row>
    <row r="357" spans="3:6" x14ac:dyDescent="0.3">
      <c r="C357" s="4" t="s">
        <v>546</v>
      </c>
      <c r="D357" s="3" t="s">
        <v>271</v>
      </c>
      <c r="E357" s="4" t="s">
        <v>282</v>
      </c>
      <c r="F357" s="3" t="s">
        <v>271</v>
      </c>
    </row>
    <row r="358" spans="3:6" x14ac:dyDescent="0.3">
      <c r="C358" s="4" t="s">
        <v>283</v>
      </c>
      <c r="D358" s="3" t="s">
        <v>284</v>
      </c>
      <c r="E358" s="4" t="s">
        <v>285</v>
      </c>
      <c r="F358" s="3" t="s">
        <v>550</v>
      </c>
    </row>
    <row r="359" spans="3:6" x14ac:dyDescent="0.3">
      <c r="C359" s="131" t="s">
        <v>286</v>
      </c>
      <c r="D359" s="3" t="s">
        <v>271</v>
      </c>
      <c r="E359" s="131" t="s">
        <v>287</v>
      </c>
      <c r="F359" s="3" t="s">
        <v>271</v>
      </c>
    </row>
    <row r="360" spans="3:6" x14ac:dyDescent="0.3">
      <c r="C360" s="4" t="s">
        <v>288</v>
      </c>
      <c r="D360" s="3" t="s">
        <v>271</v>
      </c>
      <c r="E360" s="4" t="s">
        <v>289</v>
      </c>
      <c r="F360" s="3" t="s">
        <v>271</v>
      </c>
    </row>
    <row r="361" spans="3:6" x14ac:dyDescent="0.3">
      <c r="C361" s="4" t="s">
        <v>290</v>
      </c>
      <c r="D361" s="3" t="s">
        <v>261</v>
      </c>
      <c r="E361" s="4" t="s">
        <v>291</v>
      </c>
      <c r="F361" s="4" t="s">
        <v>263</v>
      </c>
    </row>
    <row r="362" spans="3:6" x14ac:dyDescent="0.3">
      <c r="C362" s="4" t="s">
        <v>292</v>
      </c>
      <c r="D362" s="3" t="s">
        <v>271</v>
      </c>
      <c r="E362" s="4" t="s">
        <v>293</v>
      </c>
      <c r="F362" s="3" t="s">
        <v>271</v>
      </c>
    </row>
    <row r="363" spans="3:6" x14ac:dyDescent="0.3">
      <c r="C363" s="132" t="s">
        <v>294</v>
      </c>
      <c r="D363" s="3" t="s">
        <v>295</v>
      </c>
      <c r="E363" s="132" t="s">
        <v>296</v>
      </c>
      <c r="F363" s="3" t="s">
        <v>295</v>
      </c>
    </row>
    <row r="364" spans="3:6" x14ac:dyDescent="0.3">
      <c r="C364" s="132" t="s">
        <v>297</v>
      </c>
      <c r="D364" s="3" t="s">
        <v>271</v>
      </c>
      <c r="E364" s="132" t="s">
        <v>298</v>
      </c>
      <c r="F364" s="3" t="s">
        <v>271</v>
      </c>
    </row>
    <row r="365" spans="3:6" x14ac:dyDescent="0.3">
      <c r="C365" s="132" t="s">
        <v>299</v>
      </c>
      <c r="D365" s="3" t="s">
        <v>300</v>
      </c>
      <c r="E365" s="132" t="s">
        <v>301</v>
      </c>
      <c r="F365" s="3" t="s">
        <v>300</v>
      </c>
    </row>
    <row r="366" spans="3:6" x14ac:dyDescent="0.3">
      <c r="C366" s="133" t="s">
        <v>302</v>
      </c>
      <c r="D366" s="3" t="s">
        <v>300</v>
      </c>
      <c r="E366" s="133" t="s">
        <v>303</v>
      </c>
      <c r="F366" s="3" t="s">
        <v>300</v>
      </c>
    </row>
    <row r="367" spans="3:6" x14ac:dyDescent="0.3">
      <c r="C367" s="132" t="s">
        <v>304</v>
      </c>
      <c r="D367" s="3" t="s">
        <v>300</v>
      </c>
      <c r="E367" s="132" t="s">
        <v>305</v>
      </c>
      <c r="F367" s="3" t="s">
        <v>300</v>
      </c>
    </row>
    <row r="368" spans="3:6" x14ac:dyDescent="0.3">
      <c r="C368" s="133" t="s">
        <v>306</v>
      </c>
      <c r="D368" s="3" t="s">
        <v>271</v>
      </c>
      <c r="E368" s="133" t="s">
        <v>307</v>
      </c>
      <c r="F368" s="3" t="s">
        <v>271</v>
      </c>
    </row>
    <row r="369" spans="3:26" x14ac:dyDescent="0.3">
      <c r="C369" s="133" t="s">
        <v>308</v>
      </c>
      <c r="D369" s="3" t="s">
        <v>271</v>
      </c>
      <c r="E369" s="133" t="s">
        <v>309</v>
      </c>
      <c r="F369" s="38" t="s">
        <v>271</v>
      </c>
    </row>
    <row r="370" spans="3:26" x14ac:dyDescent="0.3">
      <c r="C370" s="132" t="s">
        <v>514</v>
      </c>
      <c r="D370" s="3" t="s">
        <v>261</v>
      </c>
      <c r="E370" s="132" t="s">
        <v>310</v>
      </c>
      <c r="F370" s="4" t="s">
        <v>263</v>
      </c>
    </row>
    <row r="371" spans="3:26" x14ac:dyDescent="0.3">
      <c r="C371" s="132" t="s">
        <v>311</v>
      </c>
      <c r="D371" s="3" t="s">
        <v>261</v>
      </c>
      <c r="E371" s="132" t="s">
        <v>312</v>
      </c>
      <c r="F371" s="4" t="s">
        <v>263</v>
      </c>
    </row>
    <row r="372" spans="3:26" x14ac:dyDescent="0.3">
      <c r="C372" s="4" t="s">
        <v>313</v>
      </c>
      <c r="D372" s="3" t="s">
        <v>271</v>
      </c>
      <c r="E372" s="132" t="s">
        <v>314</v>
      </c>
      <c r="F372" s="3" t="s">
        <v>271</v>
      </c>
    </row>
    <row r="373" spans="3:26" x14ac:dyDescent="0.3">
      <c r="C373" s="4" t="s">
        <v>601</v>
      </c>
      <c r="D373" s="3"/>
      <c r="E373" s="132" t="s">
        <v>602</v>
      </c>
      <c r="F373" s="3"/>
    </row>
    <row r="374" spans="3:26" x14ac:dyDescent="0.3">
      <c r="C374" s="4"/>
      <c r="D374" s="3"/>
      <c r="E374" s="132"/>
      <c r="F374" s="3"/>
    </row>
    <row r="375" spans="3:26" x14ac:dyDescent="0.3">
      <c r="C375" s="128" t="s">
        <v>252</v>
      </c>
      <c r="D375" s="7"/>
      <c r="E375" s="128" t="s">
        <v>253</v>
      </c>
      <c r="F375" s="2"/>
    </row>
    <row r="376" spans="3:26" x14ac:dyDescent="0.3">
      <c r="C376" s="128"/>
      <c r="D376" s="7"/>
      <c r="E376" s="128"/>
      <c r="F376" s="2"/>
    </row>
    <row r="377" spans="3:26" x14ac:dyDescent="0.3">
      <c r="C377" s="129" t="s">
        <v>315</v>
      </c>
    </row>
    <row r="378" spans="3:26" x14ac:dyDescent="0.3">
      <c r="C378" s="129" t="s">
        <v>316</v>
      </c>
    </row>
    <row r="380" spans="3:26" x14ac:dyDescent="0.3">
      <c r="C380" s="134" t="e">
        <f>IF(#REF!="Выбор языка: РУССКИЙ",1,2)</f>
        <v>#REF!</v>
      </c>
    </row>
    <row r="382" spans="3:26" x14ac:dyDescent="0.3">
      <c r="C382" s="130" t="s">
        <v>256</v>
      </c>
      <c r="D382" s="130" t="s">
        <v>257</v>
      </c>
      <c r="E382" s="130" t="s">
        <v>258</v>
      </c>
      <c r="F382" s="130" t="s">
        <v>259</v>
      </c>
      <c r="G382" s="135" t="s">
        <v>317</v>
      </c>
      <c r="H382" s="135" t="s">
        <v>318</v>
      </c>
      <c r="I382" s="135" t="s">
        <v>319</v>
      </c>
      <c r="J382" s="135" t="s">
        <v>320</v>
      </c>
      <c r="K382" s="135" t="s">
        <v>321</v>
      </c>
      <c r="L382" s="135" t="s">
        <v>322</v>
      </c>
      <c r="M382" s="135" t="s">
        <v>323</v>
      </c>
      <c r="N382" s="135" t="s">
        <v>558</v>
      </c>
      <c r="O382" s="135" t="s">
        <v>580</v>
      </c>
      <c r="P382" s="135" t="s">
        <v>582</v>
      </c>
      <c r="Q382" s="135" t="s">
        <v>597</v>
      </c>
      <c r="R382" s="135" t="s">
        <v>598</v>
      </c>
      <c r="S382" s="135" t="s">
        <v>668</v>
      </c>
      <c r="T382" s="135" t="s">
        <v>669</v>
      </c>
      <c r="U382" s="135" t="s">
        <v>748</v>
      </c>
      <c r="V382" s="135" t="s">
        <v>749</v>
      </c>
      <c r="W382" s="135" t="s">
        <v>750</v>
      </c>
      <c r="X382" s="135" t="s">
        <v>762</v>
      </c>
      <c r="Y382" s="135" t="s">
        <v>766</v>
      </c>
      <c r="Z382" s="135" t="s">
        <v>767</v>
      </c>
    </row>
    <row r="383" spans="3:26" x14ac:dyDescent="0.3">
      <c r="C383" s="136" t="s">
        <v>260</v>
      </c>
      <c r="D383" s="137" t="s">
        <v>261</v>
      </c>
      <c r="E383" s="136" t="s">
        <v>262</v>
      </c>
      <c r="F383" s="136" t="s">
        <v>263</v>
      </c>
      <c r="G383" s="135" t="s">
        <v>324</v>
      </c>
      <c r="H383" s="135" t="s">
        <v>325</v>
      </c>
      <c r="I383" s="135" t="s">
        <v>326</v>
      </c>
      <c r="J383" s="135" t="s">
        <v>327</v>
      </c>
      <c r="K383" s="135" t="s">
        <v>328</v>
      </c>
      <c r="L383" s="135" t="s">
        <v>329</v>
      </c>
      <c r="M383" s="135" t="s">
        <v>330</v>
      </c>
      <c r="N383" s="135" t="s">
        <v>559</v>
      </c>
      <c r="O383" s="135" t="s">
        <v>581</v>
      </c>
      <c r="P383" s="135" t="s">
        <v>596</v>
      </c>
      <c r="Q383" s="135" t="s">
        <v>599</v>
      </c>
      <c r="R383" s="135" t="s">
        <v>600</v>
      </c>
      <c r="S383" s="135" t="s">
        <v>670</v>
      </c>
      <c r="T383" s="135" t="s">
        <v>671</v>
      </c>
      <c r="U383" s="135" t="s">
        <v>751</v>
      </c>
      <c r="V383" s="135" t="s">
        <v>752</v>
      </c>
      <c r="W383" s="135" t="s">
        <v>753</v>
      </c>
      <c r="X383" s="135" t="s">
        <v>763</v>
      </c>
      <c r="Y383" s="135" t="s">
        <v>768</v>
      </c>
      <c r="Z383" s="135" t="s">
        <v>769</v>
      </c>
    </row>
    <row r="384" spans="3:26" x14ac:dyDescent="0.3">
      <c r="C384" s="136" t="s">
        <v>260</v>
      </c>
      <c r="D384" s="137" t="s">
        <v>264</v>
      </c>
      <c r="E384" s="136" t="s">
        <v>262</v>
      </c>
      <c r="F384" s="136" t="s">
        <v>265</v>
      </c>
    </row>
    <row r="385" spans="3:16" x14ac:dyDescent="0.3">
      <c r="C385" s="136" t="s">
        <v>266</v>
      </c>
      <c r="D385" s="137" t="s">
        <v>331</v>
      </c>
      <c r="E385" s="136" t="s">
        <v>268</v>
      </c>
      <c r="F385" s="136" t="s">
        <v>332</v>
      </c>
    </row>
    <row r="386" spans="3:16" x14ac:dyDescent="0.3">
      <c r="C386" s="136" t="s">
        <v>333</v>
      </c>
      <c r="D386" s="137" t="s">
        <v>271</v>
      </c>
      <c r="E386" s="136" t="s">
        <v>334</v>
      </c>
      <c r="F386" s="137" t="s">
        <v>271</v>
      </c>
      <c r="G386" s="135">
        <v>2012</v>
      </c>
      <c r="H386" s="135">
        <v>2013</v>
      </c>
      <c r="I386" s="135">
        <v>2014</v>
      </c>
      <c r="J386" s="135">
        <v>2015</v>
      </c>
      <c r="K386" s="135">
        <v>2016</v>
      </c>
      <c r="L386" s="135">
        <v>2017</v>
      </c>
      <c r="M386" s="135" t="s">
        <v>578</v>
      </c>
      <c r="N386" s="135">
        <v>2018</v>
      </c>
      <c r="O386" s="135">
        <v>2019</v>
      </c>
      <c r="P386" s="135">
        <v>2020</v>
      </c>
    </row>
    <row r="387" spans="3:16" x14ac:dyDescent="0.3">
      <c r="C387" s="136" t="s">
        <v>273</v>
      </c>
      <c r="D387" s="137" t="s">
        <v>271</v>
      </c>
      <c r="E387" s="136" t="s">
        <v>274</v>
      </c>
      <c r="F387" s="137" t="s">
        <v>271</v>
      </c>
      <c r="G387" s="135">
        <v>2012</v>
      </c>
      <c r="H387" s="135">
        <v>2013</v>
      </c>
      <c r="I387" s="135">
        <v>2014</v>
      </c>
      <c r="J387" s="135">
        <v>2015</v>
      </c>
      <c r="K387" s="135">
        <v>2016</v>
      </c>
      <c r="L387" s="135">
        <v>2017</v>
      </c>
      <c r="M387" s="135" t="s">
        <v>579</v>
      </c>
      <c r="N387" s="135">
        <v>2018</v>
      </c>
      <c r="O387" s="135">
        <v>2019</v>
      </c>
      <c r="P387" s="135">
        <v>2020</v>
      </c>
    </row>
    <row r="388" spans="3:16" x14ac:dyDescent="0.3">
      <c r="C388" s="136" t="s">
        <v>275</v>
      </c>
      <c r="D388" s="137" t="s">
        <v>276</v>
      </c>
      <c r="E388" s="136" t="s">
        <v>277</v>
      </c>
      <c r="F388" s="137" t="s">
        <v>276</v>
      </c>
    </row>
    <row r="389" spans="3:16" x14ac:dyDescent="0.3">
      <c r="C389" s="136" t="s">
        <v>278</v>
      </c>
      <c r="D389" s="137" t="s">
        <v>276</v>
      </c>
      <c r="E389" s="136" t="s">
        <v>279</v>
      </c>
      <c r="F389" s="137" t="s">
        <v>276</v>
      </c>
    </row>
    <row r="390" spans="3:16" x14ac:dyDescent="0.3">
      <c r="C390" s="136" t="s">
        <v>335</v>
      </c>
      <c r="D390" s="137" t="s">
        <v>271</v>
      </c>
      <c r="E390" s="136" t="s">
        <v>336</v>
      </c>
      <c r="F390" s="137" t="s">
        <v>271</v>
      </c>
    </row>
    <row r="391" spans="3:16" x14ac:dyDescent="0.3">
      <c r="C391" s="136" t="s">
        <v>547</v>
      </c>
      <c r="D391" s="137" t="s">
        <v>271</v>
      </c>
      <c r="E391" s="136" t="s">
        <v>337</v>
      </c>
      <c r="F391" s="137" t="s">
        <v>271</v>
      </c>
    </row>
    <row r="392" spans="3:16" x14ac:dyDescent="0.3">
      <c r="C392" s="136" t="s">
        <v>283</v>
      </c>
      <c r="D392" s="137" t="s">
        <v>284</v>
      </c>
      <c r="E392" s="136" t="s">
        <v>285</v>
      </c>
      <c r="F392" s="137" t="s">
        <v>550</v>
      </c>
    </row>
    <row r="393" spans="3:16" x14ac:dyDescent="0.3">
      <c r="C393" s="136" t="s">
        <v>288</v>
      </c>
      <c r="D393" s="137" t="s">
        <v>271</v>
      </c>
      <c r="E393" s="136" t="s">
        <v>289</v>
      </c>
      <c r="F393" s="137" t="s">
        <v>271</v>
      </c>
    </row>
    <row r="394" spans="3:16" x14ac:dyDescent="0.3">
      <c r="C394" s="136" t="s">
        <v>338</v>
      </c>
      <c r="D394" s="137" t="s">
        <v>271</v>
      </c>
      <c r="E394" s="136" t="s">
        <v>339</v>
      </c>
      <c r="F394" s="137" t="s">
        <v>271</v>
      </c>
    </row>
    <row r="395" spans="3:16" x14ac:dyDescent="0.3">
      <c r="C395" s="138" t="s">
        <v>294</v>
      </c>
      <c r="D395" s="137" t="s">
        <v>295</v>
      </c>
      <c r="E395" s="138" t="s">
        <v>296</v>
      </c>
      <c r="F395" s="137" t="s">
        <v>295</v>
      </c>
    </row>
    <row r="396" spans="3:16" x14ac:dyDescent="0.3">
      <c r="C396" s="138" t="s">
        <v>297</v>
      </c>
      <c r="D396" s="137" t="s">
        <v>271</v>
      </c>
      <c r="E396" s="138" t="s">
        <v>340</v>
      </c>
      <c r="F396" s="137" t="s">
        <v>271</v>
      </c>
    </row>
    <row r="397" spans="3:16" x14ac:dyDescent="0.3">
      <c r="C397" s="138" t="s">
        <v>341</v>
      </c>
      <c r="D397" s="138" t="s">
        <v>271</v>
      </c>
      <c r="E397" s="138" t="s">
        <v>342</v>
      </c>
      <c r="F397" s="139" t="s">
        <v>271</v>
      </c>
    </row>
    <row r="398" spans="3:16" x14ac:dyDescent="0.3">
      <c r="C398" s="138" t="s">
        <v>514</v>
      </c>
      <c r="D398" s="137" t="s">
        <v>261</v>
      </c>
      <c r="E398" s="138" t="s">
        <v>310</v>
      </c>
      <c r="F398" s="136" t="s">
        <v>263</v>
      </c>
    </row>
    <row r="399" spans="3:16" x14ac:dyDescent="0.3">
      <c r="C399" s="138" t="s">
        <v>311</v>
      </c>
      <c r="D399" s="137" t="s">
        <v>261</v>
      </c>
      <c r="E399" s="138" t="s">
        <v>312</v>
      </c>
      <c r="F399" s="136" t="s">
        <v>263</v>
      </c>
    </row>
    <row r="400" spans="3:16" x14ac:dyDescent="0.3">
      <c r="C400" s="136" t="s">
        <v>313</v>
      </c>
      <c r="D400" s="137" t="s">
        <v>271</v>
      </c>
      <c r="E400" s="138" t="s">
        <v>314</v>
      </c>
      <c r="F400" s="137" t="s">
        <v>271</v>
      </c>
    </row>
    <row r="402" spans="2:8" x14ac:dyDescent="0.3">
      <c r="C402" s="128" t="s">
        <v>252</v>
      </c>
      <c r="D402" s="7"/>
      <c r="E402" s="128" t="s">
        <v>253</v>
      </c>
      <c r="F402" s="2"/>
    </row>
    <row r="405" spans="2:8" x14ac:dyDescent="0.3">
      <c r="B405" s="81">
        <v>7</v>
      </c>
      <c r="C405" s="129" t="s">
        <v>576</v>
      </c>
    </row>
    <row r="406" spans="2:8" x14ac:dyDescent="0.3">
      <c r="C406" s="129" t="s">
        <v>343</v>
      </c>
    </row>
    <row r="408" spans="2:8" x14ac:dyDescent="0.3">
      <c r="C408" s="34" t="e">
        <f>IF(#REF!="Выбор языка: РУССКИЙ",1,2)</f>
        <v>#REF!</v>
      </c>
    </row>
    <row r="410" spans="2:8" x14ac:dyDescent="0.3">
      <c r="C410" s="140" t="s">
        <v>344</v>
      </c>
    </row>
    <row r="411" spans="2:8" x14ac:dyDescent="0.3">
      <c r="C411" s="140" t="s">
        <v>345</v>
      </c>
    </row>
    <row r="413" spans="2:8" x14ac:dyDescent="0.3">
      <c r="C413" s="141" t="s">
        <v>346</v>
      </c>
      <c r="D413" s="141" t="s">
        <v>347</v>
      </c>
      <c r="E413" s="141"/>
      <c r="F413" s="141" t="s">
        <v>348</v>
      </c>
      <c r="G413" s="141" t="s">
        <v>349</v>
      </c>
      <c r="H413" s="142"/>
    </row>
    <row r="414" spans="2:8" x14ac:dyDescent="0.3">
      <c r="C414" s="143" t="s">
        <v>350</v>
      </c>
      <c r="D414" s="467" t="s">
        <v>351</v>
      </c>
      <c r="E414" s="467"/>
      <c r="F414" s="143" t="s">
        <v>352</v>
      </c>
      <c r="G414" s="467" t="s">
        <v>351</v>
      </c>
      <c r="H414" s="467"/>
    </row>
    <row r="415" spans="2:8" x14ac:dyDescent="0.3">
      <c r="C415" s="143" t="s">
        <v>353</v>
      </c>
      <c r="D415" s="467" t="s">
        <v>573</v>
      </c>
      <c r="E415" s="467"/>
      <c r="F415" s="143" t="s">
        <v>354</v>
      </c>
      <c r="G415" s="467" t="s">
        <v>355</v>
      </c>
      <c r="H415" s="467"/>
    </row>
    <row r="416" spans="2:8" x14ac:dyDescent="0.3">
      <c r="C416" s="143" t="s">
        <v>356</v>
      </c>
      <c r="D416" s="467" t="s">
        <v>357</v>
      </c>
      <c r="E416" s="467"/>
      <c r="F416" s="143" t="s">
        <v>358</v>
      </c>
      <c r="G416" s="467" t="s">
        <v>357</v>
      </c>
      <c r="H416" s="467"/>
    </row>
    <row r="417" spans="3:8" x14ac:dyDescent="0.3">
      <c r="C417" s="143" t="s">
        <v>359</v>
      </c>
      <c r="D417" s="467" t="s">
        <v>566</v>
      </c>
      <c r="E417" s="467"/>
      <c r="F417" s="143" t="s">
        <v>360</v>
      </c>
      <c r="G417" s="467" t="s">
        <v>361</v>
      </c>
      <c r="H417" s="467"/>
    </row>
    <row r="418" spans="3:8" x14ac:dyDescent="0.3">
      <c r="C418" s="143" t="s">
        <v>362</v>
      </c>
      <c r="D418" s="467" t="s">
        <v>363</v>
      </c>
      <c r="E418" s="467"/>
      <c r="F418" s="143" t="s">
        <v>364</v>
      </c>
      <c r="G418" s="467" t="s">
        <v>553</v>
      </c>
      <c r="H418" s="467"/>
    </row>
    <row r="419" spans="3:8" ht="15" customHeight="1" x14ac:dyDescent="0.3">
      <c r="C419" s="143" t="s">
        <v>365</v>
      </c>
      <c r="D419" s="467" t="s">
        <v>366</v>
      </c>
      <c r="E419" s="467"/>
      <c r="F419" s="143" t="s">
        <v>367</v>
      </c>
      <c r="G419" s="467" t="s">
        <v>554</v>
      </c>
      <c r="H419" s="467"/>
    </row>
    <row r="420" spans="3:8" x14ac:dyDescent="0.3">
      <c r="C420" s="143" t="s">
        <v>368</v>
      </c>
      <c r="D420" s="468">
        <v>8.7499999999999994E-2</v>
      </c>
      <c r="E420" s="469"/>
      <c r="F420" s="143" t="s">
        <v>370</v>
      </c>
      <c r="G420" s="467" t="s">
        <v>369</v>
      </c>
      <c r="H420" s="467"/>
    </row>
    <row r="421" spans="3:8" x14ac:dyDescent="0.3">
      <c r="C421" s="143" t="s">
        <v>371</v>
      </c>
      <c r="D421" s="469" t="s">
        <v>372</v>
      </c>
      <c r="E421" s="469"/>
      <c r="F421" s="143" t="s">
        <v>373</v>
      </c>
      <c r="G421" s="467" t="s">
        <v>552</v>
      </c>
      <c r="H421" s="467"/>
    </row>
    <row r="422" spans="3:8" x14ac:dyDescent="0.3">
      <c r="C422" s="470" t="s">
        <v>374</v>
      </c>
      <c r="D422" s="224" t="s">
        <v>375</v>
      </c>
      <c r="E422" s="224" t="s">
        <v>567</v>
      </c>
      <c r="F422" s="470" t="s">
        <v>376</v>
      </c>
      <c r="G422" s="144" t="s">
        <v>555</v>
      </c>
      <c r="H422" s="144" t="s">
        <v>377</v>
      </c>
    </row>
    <row r="423" spans="3:8" x14ac:dyDescent="0.3">
      <c r="C423" s="470"/>
      <c r="D423" s="224" t="s">
        <v>378</v>
      </c>
      <c r="E423" s="224" t="s">
        <v>568</v>
      </c>
      <c r="F423" s="470"/>
      <c r="G423" s="144" t="s">
        <v>556</v>
      </c>
      <c r="H423" s="144" t="s">
        <v>377</v>
      </c>
    </row>
    <row r="424" spans="3:8" x14ac:dyDescent="0.3">
      <c r="C424" s="470"/>
      <c r="D424" s="224" t="s">
        <v>379</v>
      </c>
      <c r="E424" s="224" t="s">
        <v>569</v>
      </c>
      <c r="F424" s="470"/>
      <c r="G424" s="144" t="s">
        <v>557</v>
      </c>
      <c r="H424" s="144" t="s">
        <v>380</v>
      </c>
    </row>
    <row r="425" spans="3:8" x14ac:dyDescent="0.3">
      <c r="C425" s="470"/>
      <c r="D425" s="224" t="s">
        <v>366</v>
      </c>
      <c r="E425" s="224" t="s">
        <v>570</v>
      </c>
      <c r="F425" s="470"/>
      <c r="G425" s="144" t="s">
        <v>554</v>
      </c>
      <c r="H425" s="144" t="s">
        <v>380</v>
      </c>
    </row>
    <row r="426" spans="3:8" x14ac:dyDescent="0.3">
      <c r="C426" s="470" t="s">
        <v>381</v>
      </c>
      <c r="D426" s="145" t="s">
        <v>574</v>
      </c>
      <c r="E426" s="145"/>
      <c r="F426" s="470" t="s">
        <v>383</v>
      </c>
      <c r="G426" s="145" t="s">
        <v>382</v>
      </c>
      <c r="H426" s="145"/>
    </row>
    <row r="427" spans="3:8" ht="27.6" x14ac:dyDescent="0.3">
      <c r="C427" s="470"/>
      <c r="D427" s="145" t="s">
        <v>575</v>
      </c>
      <c r="E427" s="145"/>
      <c r="F427" s="470"/>
      <c r="G427" s="145" t="s">
        <v>384</v>
      </c>
      <c r="H427" s="145"/>
    </row>
    <row r="428" spans="3:8" x14ac:dyDescent="0.3">
      <c r="C428" s="143" t="s">
        <v>385</v>
      </c>
      <c r="D428" s="467" t="s">
        <v>386</v>
      </c>
      <c r="E428" s="467"/>
      <c r="F428" s="143" t="s">
        <v>387</v>
      </c>
      <c r="G428" s="467" t="s">
        <v>386</v>
      </c>
      <c r="H428" s="467"/>
    </row>
    <row r="429" spans="3:8" x14ac:dyDescent="0.3">
      <c r="C429" s="143" t="s">
        <v>388</v>
      </c>
      <c r="D429" s="467" t="s">
        <v>389</v>
      </c>
      <c r="E429" s="467"/>
      <c r="F429" s="143" t="s">
        <v>390</v>
      </c>
      <c r="G429" s="467" t="s">
        <v>389</v>
      </c>
      <c r="H429" s="467"/>
    </row>
    <row r="430" spans="3:8" x14ac:dyDescent="0.3">
      <c r="C430" s="470" t="s">
        <v>391</v>
      </c>
      <c r="D430" s="145" t="s">
        <v>392</v>
      </c>
      <c r="E430" s="145"/>
      <c r="F430" s="470" t="s">
        <v>393</v>
      </c>
      <c r="G430" s="145" t="s">
        <v>392</v>
      </c>
      <c r="H430" s="145"/>
    </row>
    <row r="431" spans="3:8" ht="27.6" x14ac:dyDescent="0.3">
      <c r="C431" s="470"/>
      <c r="D431" s="145" t="s">
        <v>394</v>
      </c>
      <c r="E431" s="145"/>
      <c r="F431" s="470"/>
      <c r="G431" s="145" t="s">
        <v>394</v>
      </c>
      <c r="H431" s="145"/>
    </row>
    <row r="432" spans="3:8" x14ac:dyDescent="0.3">
      <c r="C432" s="470"/>
      <c r="D432" s="145" t="s">
        <v>395</v>
      </c>
      <c r="E432" s="145"/>
      <c r="F432" s="470"/>
      <c r="G432" s="145" t="s">
        <v>395</v>
      </c>
      <c r="H432" s="145"/>
    </row>
    <row r="433" spans="2:8" x14ac:dyDescent="0.3">
      <c r="C433" s="470"/>
      <c r="D433" s="145" t="s">
        <v>396</v>
      </c>
      <c r="E433" s="145"/>
      <c r="F433" s="470"/>
      <c r="G433" s="145" t="s">
        <v>396</v>
      </c>
      <c r="H433" s="145"/>
    </row>
    <row r="434" spans="2:8" ht="27.6" x14ac:dyDescent="0.3">
      <c r="C434" s="470"/>
      <c r="D434" s="145" t="s">
        <v>397</v>
      </c>
      <c r="E434" s="145"/>
      <c r="F434" s="470"/>
      <c r="G434" s="145" t="s">
        <v>397</v>
      </c>
      <c r="H434" s="145"/>
    </row>
    <row r="435" spans="2:8" x14ac:dyDescent="0.3">
      <c r="C435" s="470"/>
      <c r="D435" s="145" t="s">
        <v>398</v>
      </c>
      <c r="E435" s="145"/>
      <c r="F435" s="470"/>
      <c r="G435" s="145" t="s">
        <v>398</v>
      </c>
      <c r="H435" s="145"/>
    </row>
    <row r="436" spans="2:8" x14ac:dyDescent="0.3">
      <c r="C436" s="470"/>
      <c r="D436" s="145" t="s">
        <v>399</v>
      </c>
      <c r="E436" s="145"/>
      <c r="F436" s="470"/>
      <c r="G436" s="145" t="s">
        <v>399</v>
      </c>
      <c r="H436" s="145"/>
    </row>
    <row r="437" spans="2:8" ht="27.6" x14ac:dyDescent="0.3">
      <c r="C437" s="146" t="s">
        <v>400</v>
      </c>
      <c r="D437" s="466" t="s">
        <v>401</v>
      </c>
      <c r="E437" s="466"/>
      <c r="F437" s="146" t="s">
        <v>402</v>
      </c>
      <c r="G437" s="466" t="s">
        <v>403</v>
      </c>
      <c r="H437" s="466"/>
    </row>
    <row r="438" spans="2:8" x14ac:dyDescent="0.3">
      <c r="C438" s="146" t="s">
        <v>404</v>
      </c>
      <c r="D438" s="466" t="s">
        <v>405</v>
      </c>
      <c r="E438" s="466"/>
      <c r="F438" s="146" t="s">
        <v>406</v>
      </c>
      <c r="G438" s="466" t="s">
        <v>407</v>
      </c>
      <c r="H438" s="466"/>
    </row>
    <row r="439" spans="2:8" x14ac:dyDescent="0.3">
      <c r="C439" s="143" t="s">
        <v>408</v>
      </c>
      <c r="D439" s="467" t="s">
        <v>409</v>
      </c>
      <c r="E439" s="467"/>
      <c r="F439" s="143" t="s">
        <v>410</v>
      </c>
      <c r="G439" s="467" t="s">
        <v>409</v>
      </c>
      <c r="H439" s="467"/>
    </row>
    <row r="440" spans="2:8" ht="27.6" x14ac:dyDescent="0.3">
      <c r="C440" s="143" t="s">
        <v>411</v>
      </c>
      <c r="D440" s="467" t="s">
        <v>412</v>
      </c>
      <c r="E440" s="467"/>
      <c r="F440" s="143" t="s">
        <v>413</v>
      </c>
      <c r="G440" s="467" t="s">
        <v>414</v>
      </c>
      <c r="H440" s="467"/>
    </row>
    <row r="441" spans="2:8" ht="27.6" x14ac:dyDescent="0.3">
      <c r="C441" s="143" t="s">
        <v>415</v>
      </c>
      <c r="D441" s="467" t="s">
        <v>416</v>
      </c>
      <c r="E441" s="467"/>
      <c r="F441" s="143" t="s">
        <v>417</v>
      </c>
      <c r="G441" s="467" t="s">
        <v>418</v>
      </c>
      <c r="H441" s="467"/>
    </row>
    <row r="442" spans="2:8" ht="27.6" x14ac:dyDescent="0.3">
      <c r="C442" s="143" t="s">
        <v>419</v>
      </c>
      <c r="D442" s="467" t="s">
        <v>420</v>
      </c>
      <c r="E442" s="467"/>
      <c r="F442" s="143" t="s">
        <v>421</v>
      </c>
      <c r="G442" s="467" t="s">
        <v>422</v>
      </c>
      <c r="H442" s="467"/>
    </row>
    <row r="444" spans="2:8" x14ac:dyDescent="0.3">
      <c r="B444" s="81">
        <v>8</v>
      </c>
      <c r="C444" s="129" t="s">
        <v>423</v>
      </c>
    </row>
    <row r="445" spans="2:8" x14ac:dyDescent="0.3">
      <c r="C445" s="129" t="s">
        <v>424</v>
      </c>
    </row>
    <row r="447" spans="2:8" x14ac:dyDescent="0.3">
      <c r="C447" s="159">
        <f>IF('Financial Highlights'!B4="Выбор языка: РУССКИЙ",1,2)</f>
        <v>1</v>
      </c>
    </row>
    <row r="449" spans="3:13" x14ac:dyDescent="0.3">
      <c r="C449" s="130" t="s">
        <v>256</v>
      </c>
      <c r="D449" s="130" t="s">
        <v>257</v>
      </c>
      <c r="E449" s="130" t="s">
        <v>258</v>
      </c>
      <c r="F449" s="130" t="s">
        <v>259</v>
      </c>
      <c r="G449" s="135">
        <v>2014</v>
      </c>
      <c r="H449" s="135">
        <v>2015</v>
      </c>
      <c r="I449" s="135">
        <v>2016</v>
      </c>
      <c r="J449" s="135">
        <v>2017</v>
      </c>
      <c r="K449" s="135">
        <v>2018</v>
      </c>
      <c r="L449" s="135">
        <v>2019</v>
      </c>
      <c r="M449" s="135">
        <v>2020</v>
      </c>
    </row>
    <row r="450" spans="3:13" x14ac:dyDescent="0.3">
      <c r="C450" s="160" t="s">
        <v>773</v>
      </c>
      <c r="D450" s="161"/>
      <c r="E450" s="162" t="s">
        <v>425</v>
      </c>
      <c r="F450" s="161"/>
      <c r="G450" s="135">
        <v>2014</v>
      </c>
      <c r="H450" s="135">
        <v>2015</v>
      </c>
      <c r="I450" s="135">
        <v>2016</v>
      </c>
      <c r="J450" s="135">
        <v>2017</v>
      </c>
      <c r="K450" s="135">
        <v>2018</v>
      </c>
      <c r="L450" s="135">
        <v>2019</v>
      </c>
      <c r="M450" s="135">
        <v>2020</v>
      </c>
    </row>
    <row r="451" spans="3:13" x14ac:dyDescent="0.3">
      <c r="C451" s="163" t="s">
        <v>426</v>
      </c>
      <c r="D451" s="161" t="s">
        <v>42</v>
      </c>
      <c r="E451" s="163" t="s">
        <v>427</v>
      </c>
      <c r="F451" s="161" t="s">
        <v>548</v>
      </c>
    </row>
    <row r="452" spans="3:13" x14ac:dyDescent="0.3">
      <c r="C452" s="163" t="s">
        <v>82</v>
      </c>
      <c r="D452" s="161" t="s">
        <v>42</v>
      </c>
      <c r="E452" s="163" t="s">
        <v>428</v>
      </c>
      <c r="F452" s="161" t="s">
        <v>548</v>
      </c>
    </row>
    <row r="453" spans="3:13" x14ac:dyDescent="0.3">
      <c r="C453" s="164" t="s">
        <v>565</v>
      </c>
      <c r="D453" s="165" t="s">
        <v>271</v>
      </c>
      <c r="E453" s="164" t="s">
        <v>564</v>
      </c>
      <c r="F453" s="165" t="s">
        <v>271</v>
      </c>
    </row>
    <row r="454" spans="3:13" x14ac:dyDescent="0.3">
      <c r="C454" s="163" t="s">
        <v>225</v>
      </c>
      <c r="D454" s="161" t="s">
        <v>42</v>
      </c>
      <c r="E454" s="163" t="s">
        <v>225</v>
      </c>
      <c r="F454" s="161" t="s">
        <v>548</v>
      </c>
    </row>
    <row r="455" spans="3:13" x14ac:dyDescent="0.3">
      <c r="C455" s="164" t="s">
        <v>429</v>
      </c>
      <c r="D455" s="165" t="s">
        <v>271</v>
      </c>
      <c r="E455" s="164" t="s">
        <v>430</v>
      </c>
      <c r="F455" s="165" t="s">
        <v>271</v>
      </c>
    </row>
    <row r="456" spans="3:13" x14ac:dyDescent="0.3">
      <c r="C456" s="163" t="s">
        <v>770</v>
      </c>
      <c r="D456" s="161" t="s">
        <v>42</v>
      </c>
      <c r="E456" s="163" t="s">
        <v>222</v>
      </c>
      <c r="F456" s="161" t="s">
        <v>548</v>
      </c>
    </row>
    <row r="457" spans="3:13" x14ac:dyDescent="0.3">
      <c r="C457" s="164" t="s">
        <v>431</v>
      </c>
      <c r="D457" s="165" t="s">
        <v>271</v>
      </c>
      <c r="E457" s="164" t="s">
        <v>432</v>
      </c>
      <c r="F457" s="165" t="s">
        <v>271</v>
      </c>
    </row>
    <row r="458" spans="3:13" x14ac:dyDescent="0.3">
      <c r="C458" s="163" t="s">
        <v>433</v>
      </c>
      <c r="D458" s="161" t="s">
        <v>42</v>
      </c>
      <c r="E458" s="163" t="s">
        <v>433</v>
      </c>
      <c r="F458" s="161" t="s">
        <v>548</v>
      </c>
    </row>
    <row r="459" spans="3:13" x14ac:dyDescent="0.3">
      <c r="C459" s="164" t="s">
        <v>434</v>
      </c>
      <c r="D459" s="165" t="s">
        <v>271</v>
      </c>
      <c r="E459" s="164" t="s">
        <v>435</v>
      </c>
      <c r="F459" s="165" t="s">
        <v>271</v>
      </c>
    </row>
    <row r="460" spans="3:13" x14ac:dyDescent="0.3">
      <c r="C460" s="163" t="s">
        <v>771</v>
      </c>
      <c r="D460" s="161" t="s">
        <v>42</v>
      </c>
      <c r="E460" s="163" t="s">
        <v>772</v>
      </c>
      <c r="F460" s="161" t="s">
        <v>548</v>
      </c>
    </row>
    <row r="461" spans="3:13" x14ac:dyDescent="0.3">
      <c r="C461" s="164" t="s">
        <v>86</v>
      </c>
      <c r="D461" s="165" t="s">
        <v>271</v>
      </c>
      <c r="E461" s="164" t="s">
        <v>588</v>
      </c>
      <c r="F461" s="165" t="s">
        <v>271</v>
      </c>
    </row>
    <row r="462" spans="3:13" x14ac:dyDescent="0.3">
      <c r="C462" s="163" t="s">
        <v>645</v>
      </c>
      <c r="D462" s="161" t="s">
        <v>42</v>
      </c>
      <c r="E462" s="166" t="s">
        <v>644</v>
      </c>
      <c r="F462" s="161" t="s">
        <v>548</v>
      </c>
    </row>
    <row r="463" spans="3:13" x14ac:dyDescent="0.3">
      <c r="C463" s="160" t="s">
        <v>233</v>
      </c>
      <c r="D463" s="161"/>
      <c r="E463" s="162" t="s">
        <v>232</v>
      </c>
      <c r="F463" s="161"/>
    </row>
    <row r="464" spans="3:13" x14ac:dyDescent="0.3">
      <c r="C464" s="166" t="s">
        <v>238</v>
      </c>
      <c r="D464" s="161" t="s">
        <v>42</v>
      </c>
      <c r="E464" s="163" t="s">
        <v>436</v>
      </c>
      <c r="F464" s="161" t="s">
        <v>548</v>
      </c>
    </row>
    <row r="465" spans="2:13" x14ac:dyDescent="0.3">
      <c r="C465" s="166" t="s">
        <v>640</v>
      </c>
      <c r="D465" s="161" t="s">
        <v>437</v>
      </c>
      <c r="E465" s="163" t="s">
        <v>643</v>
      </c>
      <c r="F465" s="161" t="s">
        <v>438</v>
      </c>
    </row>
    <row r="466" spans="2:13" x14ac:dyDescent="0.3">
      <c r="C466" s="163" t="s">
        <v>641</v>
      </c>
      <c r="D466" s="161" t="s">
        <v>437</v>
      </c>
      <c r="E466" s="163" t="s">
        <v>642</v>
      </c>
      <c r="F466" s="161" t="s">
        <v>438</v>
      </c>
    </row>
    <row r="467" spans="2:13" x14ac:dyDescent="0.3">
      <c r="C467" s="179" t="s">
        <v>439</v>
      </c>
      <c r="D467" s="180"/>
      <c r="E467" s="181" t="s">
        <v>440</v>
      </c>
      <c r="F467" s="180"/>
    </row>
    <row r="468" spans="2:13" x14ac:dyDescent="0.3">
      <c r="C468" s="180" t="s">
        <v>441</v>
      </c>
      <c r="D468" s="182"/>
      <c r="E468" s="180" t="s">
        <v>441</v>
      </c>
      <c r="F468" s="182"/>
    </row>
    <row r="469" spans="2:13" x14ac:dyDescent="0.3">
      <c r="C469" s="183" t="s">
        <v>442</v>
      </c>
      <c r="D469" s="184" t="s">
        <v>271</v>
      </c>
      <c r="E469" s="183" t="s">
        <v>443</v>
      </c>
      <c r="F469" s="184" t="s">
        <v>271</v>
      </c>
    </row>
    <row r="471" spans="2:13" ht="21.6" customHeight="1" x14ac:dyDescent="0.3">
      <c r="C471" s="448" t="s">
        <v>777</v>
      </c>
      <c r="D471" s="447"/>
      <c r="E471" s="448" t="s">
        <v>778</v>
      </c>
      <c r="F471" s="447"/>
      <c r="G471" s="447"/>
      <c r="H471" s="447"/>
      <c r="I471" s="447"/>
    </row>
    <row r="475" spans="2:13" x14ac:dyDescent="0.3">
      <c r="B475" s="81">
        <v>10</v>
      </c>
      <c r="C475" s="129" t="s">
        <v>444</v>
      </c>
    </row>
    <row r="476" spans="2:13" x14ac:dyDescent="0.3">
      <c r="C476" s="129" t="s">
        <v>445</v>
      </c>
    </row>
    <row r="478" spans="2:13" x14ac:dyDescent="0.3">
      <c r="C478" s="159">
        <f>IF('Operating Highlights'!B4="Выбор языка: РУССКИЙ",1,2)</f>
        <v>1</v>
      </c>
    </row>
    <row r="480" spans="2:13" x14ac:dyDescent="0.3">
      <c r="C480" s="130" t="s">
        <v>256</v>
      </c>
      <c r="D480" s="130" t="s">
        <v>257</v>
      </c>
      <c r="E480" s="130" t="s">
        <v>258</v>
      </c>
      <c r="F480" s="130" t="s">
        <v>259</v>
      </c>
      <c r="G480" s="135">
        <v>2014</v>
      </c>
      <c r="H480" s="135">
        <v>2015</v>
      </c>
      <c r="I480" s="135">
        <v>2016</v>
      </c>
      <c r="J480" s="135">
        <v>2017</v>
      </c>
      <c r="K480" s="135">
        <v>2018</v>
      </c>
      <c r="L480" s="135">
        <v>2019</v>
      </c>
      <c r="M480" s="135">
        <v>2020</v>
      </c>
    </row>
    <row r="481" spans="3:13" x14ac:dyDescent="0.3">
      <c r="C481" s="136" t="s">
        <v>515</v>
      </c>
      <c r="D481" s="138" t="s">
        <v>276</v>
      </c>
      <c r="E481" s="172" t="s">
        <v>603</v>
      </c>
      <c r="F481" s="138" t="s">
        <v>276</v>
      </c>
      <c r="G481" s="135">
        <v>2014</v>
      </c>
      <c r="H481" s="135">
        <v>2015</v>
      </c>
      <c r="I481" s="135">
        <v>2016</v>
      </c>
      <c r="J481" s="135">
        <v>2017</v>
      </c>
      <c r="K481" s="135">
        <v>2018</v>
      </c>
      <c r="L481" s="135">
        <v>2019</v>
      </c>
      <c r="M481" s="135">
        <v>2020</v>
      </c>
    </row>
    <row r="482" spans="3:13" x14ac:dyDescent="0.3">
      <c r="C482" s="240" t="s">
        <v>604</v>
      </c>
      <c r="D482" t="s">
        <v>276</v>
      </c>
      <c r="E482" s="240" t="s">
        <v>605</v>
      </c>
      <c r="F482" t="s">
        <v>276</v>
      </c>
      <c r="G482" s="239"/>
      <c r="H482" s="239"/>
      <c r="I482" s="239"/>
      <c r="J482" s="239"/>
      <c r="K482" s="239"/>
    </row>
    <row r="483" spans="3:13" x14ac:dyDescent="0.3">
      <c r="C483" s="240" t="s">
        <v>606</v>
      </c>
      <c r="D483" t="s">
        <v>276</v>
      </c>
      <c r="E483" s="240" t="s">
        <v>607</v>
      </c>
      <c r="F483" t="s">
        <v>276</v>
      </c>
      <c r="G483" s="239"/>
      <c r="H483" s="239"/>
      <c r="I483" s="239"/>
      <c r="J483" s="239"/>
      <c r="K483" s="239"/>
    </row>
    <row r="484" spans="3:13" x14ac:dyDescent="0.3">
      <c r="C484" s="136" t="s">
        <v>608</v>
      </c>
      <c r="D484" s="138" t="s">
        <v>609</v>
      </c>
      <c r="E484" s="172" t="s">
        <v>610</v>
      </c>
      <c r="F484" s="213" t="s">
        <v>551</v>
      </c>
    </row>
    <row r="485" spans="3:13" x14ac:dyDescent="0.3">
      <c r="C485" s="136" t="s">
        <v>611</v>
      </c>
      <c r="D485" s="138" t="s">
        <v>609</v>
      </c>
      <c r="E485" s="172" t="s">
        <v>612</v>
      </c>
      <c r="F485" s="213" t="s">
        <v>551</v>
      </c>
    </row>
    <row r="486" spans="3:13" x14ac:dyDescent="0.3">
      <c r="C486" s="136" t="s">
        <v>613</v>
      </c>
      <c r="D486" s="138" t="s">
        <v>609</v>
      </c>
      <c r="E486" s="172" t="s">
        <v>614</v>
      </c>
      <c r="F486" s="213" t="s">
        <v>551</v>
      </c>
    </row>
    <row r="487" spans="3:13" x14ac:dyDescent="0.3">
      <c r="C487" s="136" t="s">
        <v>615</v>
      </c>
      <c r="D487" s="138" t="s">
        <v>518</v>
      </c>
      <c r="E487" s="172" t="s">
        <v>531</v>
      </c>
      <c r="F487" s="138" t="s">
        <v>532</v>
      </c>
    </row>
    <row r="488" spans="3:13" x14ac:dyDescent="0.3">
      <c r="C488" s="136" t="s">
        <v>616</v>
      </c>
      <c r="D488" s="138" t="s">
        <v>518</v>
      </c>
      <c r="E488" s="172" t="s">
        <v>617</v>
      </c>
      <c r="F488" s="138" t="s">
        <v>532</v>
      </c>
    </row>
    <row r="489" spans="3:13" x14ac:dyDescent="0.3">
      <c r="C489" s="136" t="s">
        <v>618</v>
      </c>
      <c r="D489" s="138" t="s">
        <v>518</v>
      </c>
      <c r="E489" s="172" t="s">
        <v>619</v>
      </c>
      <c r="F489" s="138" t="s">
        <v>532</v>
      </c>
    </row>
    <row r="490" spans="3:13" x14ac:dyDescent="0.3">
      <c r="C490" s="136" t="s">
        <v>620</v>
      </c>
      <c r="D490" s="215" t="s">
        <v>271</v>
      </c>
      <c r="E490" s="172" t="s">
        <v>621</v>
      </c>
      <c r="F490" s="213"/>
    </row>
    <row r="491" spans="3:13" x14ac:dyDescent="0.3">
      <c r="C491" s="214" t="s">
        <v>516</v>
      </c>
      <c r="D491" s="215" t="s">
        <v>271</v>
      </c>
      <c r="E491" s="173" t="s">
        <v>529</v>
      </c>
      <c r="F491" s="215" t="s">
        <v>271</v>
      </c>
    </row>
    <row r="492" spans="3:13" x14ac:dyDescent="0.3">
      <c r="C492" s="214" t="s">
        <v>517</v>
      </c>
      <c r="D492" s="215" t="s">
        <v>271</v>
      </c>
      <c r="E492" s="173" t="s">
        <v>530</v>
      </c>
      <c r="F492" s="215" t="s">
        <v>271</v>
      </c>
    </row>
    <row r="493" spans="3:13" x14ac:dyDescent="0.3">
      <c r="C493" s="136" t="s">
        <v>519</v>
      </c>
      <c r="D493" s="138" t="str">
        <f>""</f>
        <v/>
      </c>
      <c r="E493" s="172" t="s">
        <v>533</v>
      </c>
      <c r="F493" s="138" t="str">
        <f>""</f>
        <v/>
      </c>
    </row>
    <row r="494" spans="3:13" x14ac:dyDescent="0.3">
      <c r="C494" s="214" t="s">
        <v>520</v>
      </c>
      <c r="D494" s="215" t="s">
        <v>271</v>
      </c>
      <c r="E494" s="173" t="s">
        <v>534</v>
      </c>
      <c r="F494" s="215" t="s">
        <v>271</v>
      </c>
    </row>
    <row r="495" spans="3:13" x14ac:dyDescent="0.3">
      <c r="C495" s="214" t="s">
        <v>521</v>
      </c>
      <c r="D495" s="215" t="s">
        <v>271</v>
      </c>
      <c r="E495" s="173" t="s">
        <v>535</v>
      </c>
      <c r="F495" s="215" t="s">
        <v>271</v>
      </c>
    </row>
    <row r="496" spans="3:13" x14ac:dyDescent="0.3">
      <c r="C496" s="214" t="s">
        <v>522</v>
      </c>
      <c r="D496" s="215" t="s">
        <v>271</v>
      </c>
      <c r="E496" s="173" t="s">
        <v>536</v>
      </c>
      <c r="F496" s="215" t="s">
        <v>271</v>
      </c>
    </row>
    <row r="497" spans="2:6" x14ac:dyDescent="0.3">
      <c r="C497" s="214" t="s">
        <v>523</v>
      </c>
      <c r="D497" s="215" t="s">
        <v>271</v>
      </c>
      <c r="E497" s="173" t="s">
        <v>537</v>
      </c>
      <c r="F497" s="215" t="s">
        <v>271</v>
      </c>
    </row>
    <row r="498" spans="2:6" x14ac:dyDescent="0.3">
      <c r="C498" s="214" t="s">
        <v>524</v>
      </c>
      <c r="D498" s="215" t="s">
        <v>271</v>
      </c>
      <c r="E498" s="173" t="s">
        <v>538</v>
      </c>
      <c r="F498" s="215" t="s">
        <v>271</v>
      </c>
    </row>
    <row r="499" spans="2:6" x14ac:dyDescent="0.3">
      <c r="C499" s="214" t="s">
        <v>525</v>
      </c>
      <c r="D499" s="215" t="s">
        <v>271</v>
      </c>
      <c r="E499" s="173" t="s">
        <v>539</v>
      </c>
      <c r="F499" s="215" t="s">
        <v>271</v>
      </c>
    </row>
    <row r="500" spans="2:6" x14ac:dyDescent="0.3">
      <c r="C500" s="214" t="s">
        <v>526</v>
      </c>
      <c r="D500" s="215" t="s">
        <v>271</v>
      </c>
      <c r="E500" s="173" t="s">
        <v>540</v>
      </c>
      <c r="F500" s="215" t="s">
        <v>271</v>
      </c>
    </row>
    <row r="501" spans="2:6" x14ac:dyDescent="0.3">
      <c r="C501" s="136" t="s">
        <v>446</v>
      </c>
      <c r="D501" s="138" t="s">
        <v>447</v>
      </c>
      <c r="E501" s="172" t="s">
        <v>577</v>
      </c>
      <c r="F501" s="138" t="s">
        <v>276</v>
      </c>
    </row>
    <row r="502" spans="2:6" x14ac:dyDescent="0.3">
      <c r="C502" s="240" t="s">
        <v>622</v>
      </c>
      <c r="D502" s="138" t="s">
        <v>623</v>
      </c>
      <c r="E502" s="240" t="s">
        <v>624</v>
      </c>
      <c r="F502" s="138" t="s">
        <v>625</v>
      </c>
    </row>
    <row r="503" spans="2:6" x14ac:dyDescent="0.3">
      <c r="C503" s="136" t="s">
        <v>448</v>
      </c>
      <c r="D503" s="138" t="s">
        <v>449</v>
      </c>
      <c r="E503" s="172" t="s">
        <v>450</v>
      </c>
      <c r="F503" s="213" t="s">
        <v>550</v>
      </c>
    </row>
    <row r="504" spans="2:6" x14ac:dyDescent="0.3">
      <c r="C504" s="136" t="s">
        <v>527</v>
      </c>
      <c r="D504" s="138" t="s">
        <v>528</v>
      </c>
      <c r="E504" s="172" t="s">
        <v>541</v>
      </c>
      <c r="F504" s="138" t="s">
        <v>542</v>
      </c>
    </row>
    <row r="505" spans="2:6" x14ac:dyDescent="0.3">
      <c r="C505" s="174" t="s">
        <v>627</v>
      </c>
      <c r="D505" s="138" t="s">
        <v>261</v>
      </c>
      <c r="E505" s="172" t="s">
        <v>626</v>
      </c>
      <c r="F505" s="216" t="s">
        <v>263</v>
      </c>
    </row>
    <row r="506" spans="2:6" x14ac:dyDescent="0.3">
      <c r="C506" s="219" t="s">
        <v>442</v>
      </c>
      <c r="D506" s="220" t="s">
        <v>271</v>
      </c>
      <c r="E506" s="219" t="s">
        <v>443</v>
      </c>
      <c r="F506" s="221" t="s">
        <v>271</v>
      </c>
    </row>
    <row r="507" spans="2:6" s="74" customFormat="1" x14ac:dyDescent="0.3">
      <c r="B507" s="83"/>
      <c r="C507" s="167" t="s">
        <v>601</v>
      </c>
      <c r="D507" s="165"/>
      <c r="E507" s="167" t="s">
        <v>602</v>
      </c>
      <c r="F507" s="165"/>
    </row>
    <row r="508" spans="2:6" x14ac:dyDescent="0.3">
      <c r="C508" s="168" t="s">
        <v>543</v>
      </c>
      <c r="D508" s="7"/>
      <c r="E508" s="168" t="s">
        <v>544</v>
      </c>
      <c r="F508" s="2"/>
    </row>
    <row r="509" spans="2:6" x14ac:dyDescent="0.3">
      <c r="C509" s="168" t="s">
        <v>545</v>
      </c>
      <c r="E509" s="138" t="str">
        <f>""</f>
        <v/>
      </c>
    </row>
    <row r="512" spans="2:6" x14ac:dyDescent="0.3">
      <c r="B512" s="81">
        <v>11</v>
      </c>
      <c r="C512" s="129" t="s">
        <v>451</v>
      </c>
    </row>
    <row r="513" spans="2:7" x14ac:dyDescent="0.3">
      <c r="C513" s="129" t="s">
        <v>452</v>
      </c>
    </row>
    <row r="515" spans="2:7" x14ac:dyDescent="0.3">
      <c r="C515" s="175" t="e">
        <f>IF(#REF!="Выбор языка: РУССКИЙ",1,2)</f>
        <v>#REF!</v>
      </c>
    </row>
    <row r="517" spans="2:7" x14ac:dyDescent="0.3">
      <c r="C517" s="176" t="s">
        <v>453</v>
      </c>
      <c r="D517" s="176" t="s">
        <v>454</v>
      </c>
      <c r="E517" s="176" t="s">
        <v>455</v>
      </c>
      <c r="F517" s="176" t="s">
        <v>456</v>
      </c>
      <c r="G517" s="176" t="s">
        <v>457</v>
      </c>
    </row>
    <row r="518" spans="2:7" x14ac:dyDescent="0.3">
      <c r="C518" s="177" t="s">
        <v>458</v>
      </c>
      <c r="D518" s="177" t="s">
        <v>459</v>
      </c>
      <c r="E518" t="s">
        <v>595</v>
      </c>
      <c r="F518" t="s">
        <v>461</v>
      </c>
      <c r="G518" t="s">
        <v>667</v>
      </c>
    </row>
    <row r="519" spans="2:7" x14ac:dyDescent="0.3">
      <c r="C519" s="177" t="s">
        <v>462</v>
      </c>
      <c r="D519" s="177" t="s">
        <v>463</v>
      </c>
      <c r="E519" t="s">
        <v>460</v>
      </c>
      <c r="F519" t="s">
        <v>461</v>
      </c>
      <c r="G519" t="s">
        <v>754</v>
      </c>
    </row>
    <row r="520" spans="2:7" x14ac:dyDescent="0.3">
      <c r="C520" t="s">
        <v>665</v>
      </c>
      <c r="D520" s="177" t="s">
        <v>666</v>
      </c>
      <c r="E520" t="s">
        <v>662</v>
      </c>
      <c r="F520" t="s">
        <v>461</v>
      </c>
      <c r="G520" t="s">
        <v>755</v>
      </c>
    </row>
    <row r="521" spans="2:7" x14ac:dyDescent="0.3">
      <c r="D521" s="177"/>
    </row>
    <row r="522" spans="2:7" x14ac:dyDescent="0.3">
      <c r="C522" s="176" t="s">
        <v>464</v>
      </c>
      <c r="D522" s="176" t="s">
        <v>465</v>
      </c>
      <c r="E522" s="176" t="s">
        <v>466</v>
      </c>
      <c r="F522" s="176" t="s">
        <v>467</v>
      </c>
      <c r="G522" s="176" t="s">
        <v>468</v>
      </c>
    </row>
    <row r="523" spans="2:7" x14ac:dyDescent="0.3">
      <c r="C523" s="177" t="s">
        <v>458</v>
      </c>
      <c r="D523" s="178" t="s">
        <v>469</v>
      </c>
      <c r="E523" t="s">
        <v>595</v>
      </c>
      <c r="F523" t="s">
        <v>470</v>
      </c>
      <c r="G523" t="s">
        <v>663</v>
      </c>
    </row>
    <row r="524" spans="2:7" x14ac:dyDescent="0.3">
      <c r="C524" s="177" t="s">
        <v>462</v>
      </c>
      <c r="D524" s="178" t="s">
        <v>471</v>
      </c>
      <c r="E524" t="s">
        <v>460</v>
      </c>
      <c r="F524" t="s">
        <v>470</v>
      </c>
      <c r="G524" t="s">
        <v>756</v>
      </c>
    </row>
    <row r="525" spans="2:7" x14ac:dyDescent="0.3">
      <c r="C525" t="s">
        <v>664</v>
      </c>
      <c r="D525" t="s">
        <v>661</v>
      </c>
      <c r="E525" t="s">
        <v>662</v>
      </c>
      <c r="F525" t="s">
        <v>470</v>
      </c>
      <c r="G525" t="s">
        <v>757</v>
      </c>
    </row>
    <row r="527" spans="2:7" x14ac:dyDescent="0.3">
      <c r="B527" s="81">
        <v>12</v>
      </c>
      <c r="C527" s="129" t="s">
        <v>509</v>
      </c>
    </row>
    <row r="528" spans="2:7" x14ac:dyDescent="0.3">
      <c r="C528" s="129" t="s">
        <v>510</v>
      </c>
    </row>
    <row r="530" spans="3:4" x14ac:dyDescent="0.3">
      <c r="C530" s="188">
        <f>IF(Contents!$B$4="Выбор языка: РУССКИЙ",1,2)</f>
        <v>1</v>
      </c>
    </row>
    <row r="532" spans="3:4" x14ac:dyDescent="0.3">
      <c r="C532" s="192" t="s">
        <v>489</v>
      </c>
      <c r="D532" s="192" t="s">
        <v>472</v>
      </c>
    </row>
    <row r="533" spans="3:4" x14ac:dyDescent="0.3">
      <c r="C533" s="192" t="s">
        <v>490</v>
      </c>
      <c r="D533" s="192" t="s">
        <v>473</v>
      </c>
    </row>
    <row r="534" spans="3:4" x14ac:dyDescent="0.3">
      <c r="C534" s="193" t="s">
        <v>492</v>
      </c>
      <c r="D534" s="193" t="s">
        <v>476</v>
      </c>
    </row>
    <row r="535" spans="3:4" x14ac:dyDescent="0.3">
      <c r="C535" s="193" t="s">
        <v>493</v>
      </c>
      <c r="D535" s="193" t="s">
        <v>474</v>
      </c>
    </row>
    <row r="536" spans="3:4" x14ac:dyDescent="0.3">
      <c r="C536" s="193" t="s">
        <v>494</v>
      </c>
      <c r="D536" s="193" t="s">
        <v>475</v>
      </c>
    </row>
    <row r="537" spans="3:4" x14ac:dyDescent="0.3">
      <c r="C537" s="192" t="s">
        <v>491</v>
      </c>
      <c r="D537" s="192" t="s">
        <v>774</v>
      </c>
    </row>
    <row r="538" spans="3:4" x14ac:dyDescent="0.3">
      <c r="C538" s="193" t="s">
        <v>492</v>
      </c>
      <c r="D538" s="193" t="s">
        <v>476</v>
      </c>
    </row>
    <row r="539" spans="3:4" x14ac:dyDescent="0.3">
      <c r="C539" s="193" t="s">
        <v>493</v>
      </c>
      <c r="D539" s="193" t="s">
        <v>474</v>
      </c>
    </row>
    <row r="540" spans="3:4" x14ac:dyDescent="0.3">
      <c r="C540" s="193" t="s">
        <v>494</v>
      </c>
      <c r="D540" s="193" t="s">
        <v>475</v>
      </c>
    </row>
    <row r="541" spans="3:4" x14ac:dyDescent="0.3">
      <c r="C541" s="140"/>
      <c r="D541" s="140"/>
    </row>
    <row r="542" spans="3:4" x14ac:dyDescent="0.3">
      <c r="C542" s="194"/>
      <c r="D542" s="194"/>
    </row>
    <row r="543" spans="3:4" x14ac:dyDescent="0.3">
      <c r="C543" s="192" t="s">
        <v>495</v>
      </c>
      <c r="D543" s="192" t="s">
        <v>477</v>
      </c>
    </row>
    <row r="544" spans="3:4" x14ac:dyDescent="0.3">
      <c r="C544" s="193" t="s">
        <v>496</v>
      </c>
      <c r="D544" s="193" t="s">
        <v>478</v>
      </c>
    </row>
    <row r="545" spans="3:4" x14ac:dyDescent="0.3">
      <c r="C545" s="193" t="s">
        <v>497</v>
      </c>
      <c r="D545" s="193" t="s">
        <v>479</v>
      </c>
    </row>
    <row r="546" spans="3:4" x14ac:dyDescent="0.3">
      <c r="C546" s="193" t="s">
        <v>498</v>
      </c>
      <c r="D546" s="193" t="s">
        <v>480</v>
      </c>
    </row>
    <row r="547" spans="3:4" x14ac:dyDescent="0.3">
      <c r="C547" s="193" t="s">
        <v>499</v>
      </c>
      <c r="D547" s="193" t="s">
        <v>775</v>
      </c>
    </row>
    <row r="548" spans="3:4" x14ac:dyDescent="0.3">
      <c r="C548" s="193" t="s">
        <v>500</v>
      </c>
      <c r="D548" s="193" t="s">
        <v>481</v>
      </c>
    </row>
    <row r="549" spans="3:4" x14ac:dyDescent="0.3">
      <c r="C549" s="193" t="s">
        <v>501</v>
      </c>
      <c r="D549" s="193" t="s">
        <v>776</v>
      </c>
    </row>
    <row r="550" spans="3:4" x14ac:dyDescent="0.3">
      <c r="C550" s="140"/>
      <c r="D550" s="140"/>
    </row>
    <row r="551" spans="3:4" x14ac:dyDescent="0.3">
      <c r="C551" s="195"/>
      <c r="D551" s="195"/>
    </row>
    <row r="552" spans="3:4" x14ac:dyDescent="0.3">
      <c r="C552" s="192" t="s">
        <v>502</v>
      </c>
      <c r="D552" s="192" t="s">
        <v>482</v>
      </c>
    </row>
    <row r="553" spans="3:4" x14ac:dyDescent="0.3">
      <c r="C553" s="193" t="s">
        <v>504</v>
      </c>
      <c r="D553" s="193" t="s">
        <v>483</v>
      </c>
    </row>
    <row r="554" spans="3:4" x14ac:dyDescent="0.3">
      <c r="C554" s="193" t="s">
        <v>503</v>
      </c>
      <c r="D554" s="193" t="s">
        <v>484</v>
      </c>
    </row>
    <row r="555" spans="3:4" x14ac:dyDescent="0.3">
      <c r="C555" s="140"/>
      <c r="D555" s="140"/>
    </row>
    <row r="556" spans="3:4" x14ac:dyDescent="0.3">
      <c r="C556" s="196"/>
      <c r="D556" s="196"/>
    </row>
    <row r="557" spans="3:4" x14ac:dyDescent="0.3">
      <c r="C557" s="192" t="s">
        <v>505</v>
      </c>
      <c r="D557" s="192" t="s">
        <v>487</v>
      </c>
    </row>
    <row r="558" spans="3:4" x14ac:dyDescent="0.3">
      <c r="C558" s="193" t="s">
        <v>506</v>
      </c>
      <c r="D558" s="193" t="s">
        <v>485</v>
      </c>
    </row>
    <row r="559" spans="3:4" x14ac:dyDescent="0.3">
      <c r="C559" s="193" t="s">
        <v>507</v>
      </c>
      <c r="D559" s="193" t="s">
        <v>486</v>
      </c>
    </row>
    <row r="560" spans="3:4" x14ac:dyDescent="0.3">
      <c r="C560" s="193" t="s">
        <v>508</v>
      </c>
      <c r="D560" s="193" t="s">
        <v>488</v>
      </c>
    </row>
    <row r="564" spans="3:10" ht="100.8" x14ac:dyDescent="0.3">
      <c r="C564" s="129" t="s">
        <v>672</v>
      </c>
      <c r="J564" s="258" t="s">
        <v>720</v>
      </c>
    </row>
    <row r="565" spans="3:10" ht="86.4" x14ac:dyDescent="0.3">
      <c r="C565" s="129" t="s">
        <v>673</v>
      </c>
      <c r="E565" t="s">
        <v>729</v>
      </c>
      <c r="H565" t="s">
        <v>727</v>
      </c>
      <c r="J565" s="258" t="s">
        <v>717</v>
      </c>
    </row>
    <row r="566" spans="3:10" x14ac:dyDescent="0.3">
      <c r="E566" t="s">
        <v>728</v>
      </c>
      <c r="H566" t="s">
        <v>712</v>
      </c>
    </row>
    <row r="567" spans="3:10" x14ac:dyDescent="0.3">
      <c r="C567" s="34">
        <f>IF(Contents!$B$4="Выбор языка: РУССКИЙ",1,2)</f>
        <v>1</v>
      </c>
    </row>
    <row r="569" spans="3:10" x14ac:dyDescent="0.3">
      <c r="C569" s="140" t="s">
        <v>718</v>
      </c>
      <c r="F569" s="140"/>
    </row>
    <row r="570" spans="3:10" x14ac:dyDescent="0.3">
      <c r="C570" t="s">
        <v>719</v>
      </c>
    </row>
    <row r="572" spans="3:10" x14ac:dyDescent="0.3">
      <c r="C572" s="141" t="s">
        <v>346</v>
      </c>
      <c r="D572" s="141" t="s">
        <v>347</v>
      </c>
      <c r="E572" s="141"/>
      <c r="F572" s="141" t="s">
        <v>348</v>
      </c>
      <c r="G572" s="141" t="s">
        <v>349</v>
      </c>
      <c r="H572" s="142"/>
    </row>
    <row r="573" spans="3:10" x14ac:dyDescent="0.3">
      <c r="C573" s="252" t="s">
        <v>350</v>
      </c>
      <c r="D573" s="467" t="s">
        <v>674</v>
      </c>
      <c r="E573" s="467"/>
      <c r="F573" s="252" t="s">
        <v>352</v>
      </c>
      <c r="G573" s="467" t="s">
        <v>675</v>
      </c>
      <c r="H573" s="467"/>
    </row>
    <row r="574" spans="3:10" x14ac:dyDescent="0.3">
      <c r="C574" s="252" t="s">
        <v>353</v>
      </c>
      <c r="D574" s="467" t="s">
        <v>573</v>
      </c>
      <c r="E574" s="467"/>
      <c r="F574" s="252" t="s">
        <v>354</v>
      </c>
      <c r="G574" s="467" t="s">
        <v>355</v>
      </c>
      <c r="H574" s="467"/>
    </row>
    <row r="575" spans="3:10" x14ac:dyDescent="0.3">
      <c r="C575" s="252" t="s">
        <v>676</v>
      </c>
      <c r="D575" s="467" t="s">
        <v>677</v>
      </c>
      <c r="E575" s="467"/>
      <c r="F575" s="252" t="s">
        <v>358</v>
      </c>
      <c r="G575" s="467" t="s">
        <v>678</v>
      </c>
      <c r="H575" s="467"/>
    </row>
    <row r="576" spans="3:10" x14ac:dyDescent="0.3">
      <c r="C576" s="252" t="s">
        <v>359</v>
      </c>
      <c r="D576" s="467" t="s">
        <v>679</v>
      </c>
      <c r="E576" s="467"/>
      <c r="F576" s="252" t="s">
        <v>360</v>
      </c>
      <c r="G576" s="467" t="s">
        <v>680</v>
      </c>
      <c r="H576" s="467"/>
    </row>
    <row r="577" spans="3:8" x14ac:dyDescent="0.3">
      <c r="C577" s="252" t="s">
        <v>362</v>
      </c>
      <c r="D577" s="467" t="s">
        <v>681</v>
      </c>
      <c r="E577" s="467"/>
      <c r="F577" s="252" t="s">
        <v>364</v>
      </c>
      <c r="G577" s="467" t="s">
        <v>682</v>
      </c>
      <c r="H577" s="467"/>
    </row>
    <row r="578" spans="3:8" x14ac:dyDescent="0.3">
      <c r="C578" s="252" t="s">
        <v>365</v>
      </c>
      <c r="D578" s="467" t="s">
        <v>683</v>
      </c>
      <c r="E578" s="467"/>
      <c r="F578" s="252" t="s">
        <v>367</v>
      </c>
      <c r="G578" s="467" t="s">
        <v>684</v>
      </c>
      <c r="H578" s="467"/>
    </row>
    <row r="579" spans="3:8" x14ac:dyDescent="0.3">
      <c r="C579" s="252" t="s">
        <v>368</v>
      </c>
      <c r="D579" s="468">
        <v>0.1095</v>
      </c>
      <c r="E579" s="469"/>
      <c r="F579" s="252" t="s">
        <v>370</v>
      </c>
      <c r="G579" s="467" t="s">
        <v>685</v>
      </c>
      <c r="H579" s="467"/>
    </row>
    <row r="580" spans="3:8" x14ac:dyDescent="0.3">
      <c r="C580" s="252" t="s">
        <v>371</v>
      </c>
      <c r="D580" s="469" t="s">
        <v>686</v>
      </c>
      <c r="E580" s="469"/>
      <c r="F580" s="252" t="s">
        <v>373</v>
      </c>
      <c r="G580" s="469" t="s">
        <v>687</v>
      </c>
      <c r="H580" s="469"/>
    </row>
    <row r="581" spans="3:8" ht="27.6" x14ac:dyDescent="0.3">
      <c r="C581" s="470" t="s">
        <v>374</v>
      </c>
      <c r="D581" s="224" t="s">
        <v>688</v>
      </c>
      <c r="E581" s="224" t="s">
        <v>689</v>
      </c>
      <c r="F581" s="470" t="s">
        <v>376</v>
      </c>
      <c r="G581" s="224" t="s">
        <v>690</v>
      </c>
      <c r="H581" s="224" t="s">
        <v>691</v>
      </c>
    </row>
    <row r="582" spans="3:8" ht="27.6" x14ac:dyDescent="0.3">
      <c r="C582" s="470"/>
      <c r="D582" s="224" t="s">
        <v>692</v>
      </c>
      <c r="E582" s="224" t="s">
        <v>689</v>
      </c>
      <c r="F582" s="470"/>
      <c r="G582" s="224" t="s">
        <v>693</v>
      </c>
      <c r="H582" s="224" t="s">
        <v>691</v>
      </c>
    </row>
    <row r="583" spans="3:8" ht="27.6" x14ac:dyDescent="0.3">
      <c r="C583" s="470"/>
      <c r="D583" s="224" t="s">
        <v>694</v>
      </c>
      <c r="E583" s="224" t="s">
        <v>689</v>
      </c>
      <c r="F583" s="470"/>
      <c r="G583" s="224" t="s">
        <v>695</v>
      </c>
      <c r="H583" s="224" t="s">
        <v>691</v>
      </c>
    </row>
    <row r="584" spans="3:8" ht="27.6" x14ac:dyDescent="0.3">
      <c r="C584" s="470"/>
      <c r="D584" s="224" t="s">
        <v>683</v>
      </c>
      <c r="E584" s="224" t="s">
        <v>689</v>
      </c>
      <c r="F584" s="470"/>
      <c r="G584" s="224" t="s">
        <v>684</v>
      </c>
      <c r="H584" s="224" t="s">
        <v>691</v>
      </c>
    </row>
    <row r="585" spans="3:8" ht="41.4" x14ac:dyDescent="0.3">
      <c r="C585" s="470" t="s">
        <v>381</v>
      </c>
      <c r="D585" s="251" t="s">
        <v>696</v>
      </c>
      <c r="E585" s="251"/>
      <c r="F585" s="470" t="s">
        <v>383</v>
      </c>
      <c r="G585" s="251" t="s">
        <v>697</v>
      </c>
      <c r="H585" s="251"/>
    </row>
    <row r="586" spans="3:8" ht="41.4" x14ac:dyDescent="0.3">
      <c r="C586" s="470"/>
      <c r="D586" s="251" t="s">
        <v>698</v>
      </c>
      <c r="E586" s="251"/>
      <c r="F586" s="470"/>
      <c r="G586" s="251" t="s">
        <v>699</v>
      </c>
      <c r="H586" s="251"/>
    </row>
    <row r="587" spans="3:8" x14ac:dyDescent="0.3">
      <c r="C587" s="252" t="s">
        <v>385</v>
      </c>
      <c r="D587" s="467" t="s">
        <v>700</v>
      </c>
      <c r="E587" s="467"/>
      <c r="F587" s="252" t="s">
        <v>387</v>
      </c>
      <c r="G587" s="467" t="s">
        <v>701</v>
      </c>
      <c r="H587" s="467"/>
    </row>
    <row r="588" spans="3:8" x14ac:dyDescent="0.3">
      <c r="C588" s="470" t="s">
        <v>702</v>
      </c>
      <c r="D588" s="251" t="s">
        <v>703</v>
      </c>
      <c r="E588" s="251"/>
      <c r="F588" s="470" t="s">
        <v>393</v>
      </c>
      <c r="G588" s="251" t="s">
        <v>703</v>
      </c>
      <c r="H588" s="251"/>
    </row>
    <row r="589" spans="3:8" ht="41.4" x14ac:dyDescent="0.3">
      <c r="C589" s="470"/>
      <c r="D589" s="251" t="s">
        <v>704</v>
      </c>
      <c r="E589" s="251"/>
      <c r="F589" s="470"/>
      <c r="G589" s="251" t="s">
        <v>705</v>
      </c>
      <c r="H589" s="251"/>
    </row>
    <row r="590" spans="3:8" x14ac:dyDescent="0.3">
      <c r="C590" s="146" t="s">
        <v>706</v>
      </c>
      <c r="D590" s="466" t="s">
        <v>707</v>
      </c>
      <c r="E590" s="466"/>
      <c r="F590" s="146" t="s">
        <v>708</v>
      </c>
      <c r="G590" s="467" t="s">
        <v>709</v>
      </c>
      <c r="H590" s="467"/>
    </row>
    <row r="591" spans="3:8" x14ac:dyDescent="0.3">
      <c r="C591" s="252" t="s">
        <v>411</v>
      </c>
      <c r="D591" s="467" t="s">
        <v>710</v>
      </c>
      <c r="E591" s="467"/>
      <c r="F591" s="252" t="s">
        <v>711</v>
      </c>
      <c r="G591" s="467" t="s">
        <v>710</v>
      </c>
      <c r="H591" s="467"/>
    </row>
    <row r="593" spans="3:8" x14ac:dyDescent="0.3">
      <c r="C593" s="146" t="s">
        <v>706</v>
      </c>
      <c r="D593" s="466" t="s">
        <v>713</v>
      </c>
      <c r="E593" s="466"/>
      <c r="F593" s="146" t="s">
        <v>708</v>
      </c>
      <c r="G593" s="467" t="s">
        <v>715</v>
      </c>
      <c r="H593" s="467"/>
    </row>
    <row r="594" spans="3:8" x14ac:dyDescent="0.3">
      <c r="C594" s="253" t="s">
        <v>411</v>
      </c>
      <c r="D594" s="467" t="s">
        <v>714</v>
      </c>
      <c r="E594" s="467"/>
      <c r="F594" s="253" t="s">
        <v>711</v>
      </c>
      <c r="G594" s="467" t="s">
        <v>716</v>
      </c>
      <c r="H594" s="467"/>
    </row>
  </sheetData>
  <mergeCells count="70">
    <mergeCell ref="D590:E590"/>
    <mergeCell ref="G590:H590"/>
    <mergeCell ref="D591:E591"/>
    <mergeCell ref="G591:H591"/>
    <mergeCell ref="C585:C586"/>
    <mergeCell ref="F585:F586"/>
    <mergeCell ref="D587:E587"/>
    <mergeCell ref="G587:H587"/>
    <mergeCell ref="C588:C589"/>
    <mergeCell ref="F588:F589"/>
    <mergeCell ref="D579:E579"/>
    <mergeCell ref="G579:H579"/>
    <mergeCell ref="D580:E580"/>
    <mergeCell ref="G580:H580"/>
    <mergeCell ref="C581:C584"/>
    <mergeCell ref="F581:F584"/>
    <mergeCell ref="D576:E576"/>
    <mergeCell ref="G576:H576"/>
    <mergeCell ref="D577:E577"/>
    <mergeCell ref="G577:H577"/>
    <mergeCell ref="D578:E578"/>
    <mergeCell ref="G578:H578"/>
    <mergeCell ref="D573:E573"/>
    <mergeCell ref="G573:H573"/>
    <mergeCell ref="D574:E574"/>
    <mergeCell ref="G574:H574"/>
    <mergeCell ref="D575:E575"/>
    <mergeCell ref="G575:H575"/>
    <mergeCell ref="D442:E442"/>
    <mergeCell ref="G442:H442"/>
    <mergeCell ref="D439:E439"/>
    <mergeCell ref="G439:H439"/>
    <mergeCell ref="D440:E440"/>
    <mergeCell ref="G440:H440"/>
    <mergeCell ref="D441:E441"/>
    <mergeCell ref="G441:H441"/>
    <mergeCell ref="C430:C436"/>
    <mergeCell ref="F430:F436"/>
    <mergeCell ref="D437:E437"/>
    <mergeCell ref="G437:H437"/>
    <mergeCell ref="D438:E438"/>
    <mergeCell ref="G438:H438"/>
    <mergeCell ref="C426:C427"/>
    <mergeCell ref="F426:F427"/>
    <mergeCell ref="D428:E428"/>
    <mergeCell ref="G428:H428"/>
    <mergeCell ref="D429:E429"/>
    <mergeCell ref="G429:H429"/>
    <mergeCell ref="D420:E420"/>
    <mergeCell ref="G420:H420"/>
    <mergeCell ref="D421:E421"/>
    <mergeCell ref="G421:H421"/>
    <mergeCell ref="C422:C425"/>
    <mergeCell ref="F422:F425"/>
    <mergeCell ref="D593:E593"/>
    <mergeCell ref="G593:H593"/>
    <mergeCell ref="D594:E594"/>
    <mergeCell ref="G594:H594"/>
    <mergeCell ref="D414:E414"/>
    <mergeCell ref="G414:H414"/>
    <mergeCell ref="D415:E415"/>
    <mergeCell ref="G415:H415"/>
    <mergeCell ref="D416:E416"/>
    <mergeCell ref="G416:H416"/>
    <mergeCell ref="D417:E417"/>
    <mergeCell ref="G417:H417"/>
    <mergeCell ref="D418:E418"/>
    <mergeCell ref="G418:H418"/>
    <mergeCell ref="D419:E419"/>
    <mergeCell ref="G419:H419"/>
  </mergeCells>
  <phoneticPr fontId="5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W46"/>
  <sheetViews>
    <sheetView showGridLines="0" zoomScaleNormal="100" workbookViewId="0"/>
  </sheetViews>
  <sheetFormatPr defaultColWidth="9.109375" defaultRowHeight="13.8" x14ac:dyDescent="0.3"/>
  <cols>
    <col min="1" max="1" width="6" style="1" customWidth="1"/>
    <col min="2" max="2" width="61.33203125" style="2" customWidth="1"/>
    <col min="3" max="3" width="12.6640625" style="2" customWidth="1"/>
    <col min="4" max="10" width="9.88671875" style="1" customWidth="1"/>
    <col min="11" max="11" width="5.21875" style="1" customWidth="1"/>
    <col min="12" max="13" width="9.88671875" style="1" customWidth="1"/>
    <col min="14" max="19" width="9.109375" style="1"/>
    <col min="20" max="20" width="6.6640625" style="1" customWidth="1"/>
    <col min="21" max="16384" width="9.109375" style="1"/>
  </cols>
  <sheetData>
    <row r="1" spans="1:14" ht="14.1" customHeight="1" x14ac:dyDescent="0.3">
      <c r="B1" s="123"/>
      <c r="C1" s="123"/>
      <c r="D1" s="123"/>
      <c r="E1" s="123"/>
      <c r="F1" s="123"/>
      <c r="G1" s="123"/>
      <c r="N1" s="15"/>
    </row>
    <row r="2" spans="1:14" ht="14.1" customHeight="1" x14ac:dyDescent="0.3">
      <c r="B2" s="465" t="str">
        <f>IF(LanguagePage!$C$447=1,LanguagePage!$C$444,LanguagePage!$C$445)</f>
        <v>ФИНАНСОВЫЕ И ОПЕРАЦИОННЫЕ МЕТРИКИ</v>
      </c>
      <c r="C2" s="465"/>
      <c r="D2" s="465"/>
      <c r="E2" s="465"/>
      <c r="F2" s="465"/>
      <c r="M2" s="211" t="str">
        <f>Contents!$B$2</f>
        <v>СОДЕРЖАНИЕ</v>
      </c>
      <c r="N2" s="15"/>
    </row>
    <row r="3" spans="1:14" ht="14.1" customHeight="1" x14ac:dyDescent="0.3">
      <c r="N3" s="15"/>
    </row>
    <row r="4" spans="1:14" ht="14.1" customHeight="1" x14ac:dyDescent="0.3">
      <c r="B4" s="210" t="str">
        <f>Contents!$B$4</f>
        <v>Выбор языка: РУССКИЙ</v>
      </c>
      <c r="N4" s="15"/>
    </row>
    <row r="5" spans="1:14" ht="14.1" customHeight="1" x14ac:dyDescent="0.3">
      <c r="D5" s="472" t="s">
        <v>721</v>
      </c>
      <c r="E5" s="472"/>
      <c r="F5" s="472"/>
      <c r="G5" s="472"/>
      <c r="H5" s="472"/>
      <c r="I5" s="472"/>
      <c r="J5" s="472"/>
      <c r="L5" s="471" t="s">
        <v>722</v>
      </c>
      <c r="M5" s="471"/>
      <c r="N5" s="15"/>
    </row>
    <row r="6" spans="1:14" ht="14.1" customHeight="1" x14ac:dyDescent="0.3">
      <c r="B6" s="124" t="str">
        <f>CHOOSE(LanguagePage!$C$447,LanguagePage!$C449,LanguagePage!$E449)</f>
        <v>Показатель</v>
      </c>
      <c r="C6" s="124" t="str">
        <f>CHOOSE(LanguagePage!$C$447,LanguagePage!$D449,LanguagePage!$F449)</f>
        <v>Ед. изм.</v>
      </c>
      <c r="D6" s="125">
        <f>CHOOSE(LanguagePage!$C$447,LanguagePage!G$449,LanguagePage!G$450)</f>
        <v>2014</v>
      </c>
      <c r="E6" s="125">
        <f>CHOOSE(LanguagePage!$C$447,LanguagePage!H$449,LanguagePage!H$450)</f>
        <v>2015</v>
      </c>
      <c r="F6" s="125">
        <f>CHOOSE(LanguagePage!$C$447,LanguagePage!I$449,LanguagePage!I$450)</f>
        <v>2016</v>
      </c>
      <c r="G6" s="125">
        <f>CHOOSE(LanguagePage!$C$447,LanguagePage!J$449,LanguagePage!J$450)</f>
        <v>2017</v>
      </c>
      <c r="H6" s="125">
        <f>CHOOSE(LanguagePage!$C$447,LanguagePage!K$449,LanguagePage!K$450)</f>
        <v>2018</v>
      </c>
      <c r="I6" s="125">
        <f>CHOOSE(LanguagePage!$C$447,LanguagePage!L$449,LanguagePage!L$450)</f>
        <v>2019</v>
      </c>
      <c r="J6" s="125">
        <f>CHOOSE(LanguagePage!$C$447,LanguagePage!M$449,LanguagePage!M$450)</f>
        <v>2020</v>
      </c>
      <c r="L6" s="255">
        <f>I6</f>
        <v>2019</v>
      </c>
      <c r="M6" s="255">
        <f>J6</f>
        <v>2020</v>
      </c>
      <c r="N6" s="15"/>
    </row>
    <row r="7" spans="1:14" x14ac:dyDescent="0.3">
      <c r="A7" s="126"/>
      <c r="B7" s="147" t="str">
        <f>CHOOSE(LanguagePage!$C$447,LanguagePage!$C450,LanguagePage!$E450)</f>
        <v>КЛЮЧЕВЫЕ ФИНАНСОВЫЕ ПОКАЗАТЕЛИ</v>
      </c>
      <c r="C7" s="148"/>
      <c r="D7" s="149"/>
      <c r="E7" s="149"/>
      <c r="F7" s="149"/>
      <c r="G7" s="149"/>
      <c r="H7" s="7"/>
      <c r="N7" s="15"/>
    </row>
    <row r="8" spans="1:14" x14ac:dyDescent="0.3">
      <c r="A8" s="126"/>
      <c r="B8" s="150" t="str">
        <f>CHOOSE(LanguagePage!$C$447,LanguagePage!$C451,LanguagePage!$E451)</f>
        <v>Выручка</v>
      </c>
      <c r="C8" s="449" t="str">
        <f>CHOOSE(LanguagePage!$C$447,LanguagePage!$D451,LanguagePage!$F451)</f>
        <v>тыс. BYN</v>
      </c>
      <c r="D8" s="455">
        <f>FY_IFRS_PL!C8</f>
        <v>2407930</v>
      </c>
      <c r="E8" s="455">
        <f>FY_IFRS_PL!D8</f>
        <v>2986568</v>
      </c>
      <c r="F8" s="455">
        <f>FY_IFRS_PL!E8</f>
        <v>3638760</v>
      </c>
      <c r="G8" s="455">
        <f>FY_IFRS_PL!F8</f>
        <v>3932801</v>
      </c>
      <c r="H8" s="455">
        <f>FY_IFRS_PL!G8</f>
        <v>4458343</v>
      </c>
      <c r="I8" s="455">
        <f>FY_IFRS_PL!H8</f>
        <v>4917570</v>
      </c>
      <c r="J8" s="455">
        <f>FY_IFRS_PL!I8</f>
        <v>5287235</v>
      </c>
      <c r="K8" s="304"/>
      <c r="L8" s="455">
        <f>FY_IFRS_PL!K8</f>
        <v>4917570</v>
      </c>
      <c r="M8" s="455">
        <f>FY_IFRS_PL!L8</f>
        <v>5287235</v>
      </c>
      <c r="N8" s="15"/>
    </row>
    <row r="9" spans="1:14" x14ac:dyDescent="0.3">
      <c r="A9" s="126"/>
      <c r="B9" s="151" t="str">
        <f>CHOOSE(LanguagePage!$C$447,LanguagePage!$C452,LanguagePage!$E452)</f>
        <v>Валовая прибыль</v>
      </c>
      <c r="C9" s="450" t="str">
        <f>CHOOSE(LanguagePage!$C$447,LanguagePage!$D452,LanguagePage!$F452)</f>
        <v>тыс. BYN</v>
      </c>
      <c r="D9" s="456">
        <f>FY_IFRS_PL!C12</f>
        <v>537229</v>
      </c>
      <c r="E9" s="456">
        <f>FY_IFRS_PL!D12</f>
        <v>686719</v>
      </c>
      <c r="F9" s="456">
        <f>FY_IFRS_PL!E12</f>
        <v>849361</v>
      </c>
      <c r="G9" s="456">
        <f>FY_IFRS_PL!F12</f>
        <v>1022714</v>
      </c>
      <c r="H9" s="456">
        <f>FY_IFRS_PL!G12</f>
        <v>1187871</v>
      </c>
      <c r="I9" s="456">
        <f>FY_IFRS_PL!H12</f>
        <v>1210209</v>
      </c>
      <c r="J9" s="456">
        <f>FY_IFRS_PL!I12</f>
        <v>1337642</v>
      </c>
      <c r="K9" s="304"/>
      <c r="L9" s="456">
        <f>FY_IFRS_PL!K12</f>
        <v>1210209</v>
      </c>
      <c r="M9" s="456">
        <f>FY_IFRS_PL!L12</f>
        <v>1337642</v>
      </c>
      <c r="N9" s="15"/>
    </row>
    <row r="10" spans="1:14" x14ac:dyDescent="0.3">
      <c r="A10" s="126"/>
      <c r="B10" s="152" t="str">
        <f>CHOOSE(LanguagePage!$C$447,LanguagePage!$C453,LanguagePage!$E453)</f>
        <v>Валовая маржа</v>
      </c>
      <c r="C10" s="451" t="str">
        <f>CHOOSE(LanguagePage!$C$447,LanguagePage!$D453,LanguagePage!$F453)</f>
        <v>%</v>
      </c>
      <c r="D10" s="457">
        <f>D9/D8</f>
        <v>0.2231082298904038</v>
      </c>
      <c r="E10" s="457">
        <f t="shared" ref="E10:J10" si="0">E9/E8</f>
        <v>0.22993583270161602</v>
      </c>
      <c r="F10" s="457">
        <f t="shared" si="0"/>
        <v>0.23342045092284186</v>
      </c>
      <c r="G10" s="457">
        <f t="shared" si="0"/>
        <v>0.2600472284257454</v>
      </c>
      <c r="H10" s="457">
        <f t="shared" si="0"/>
        <v>0.2664377774433237</v>
      </c>
      <c r="I10" s="457">
        <f t="shared" si="0"/>
        <v>0.24609898791476278</v>
      </c>
      <c r="J10" s="457">
        <f t="shared" si="0"/>
        <v>0.25299461816998864</v>
      </c>
      <c r="K10" s="304"/>
      <c r="L10" s="457">
        <f t="shared" ref="L10" si="1">L9/L8</f>
        <v>0.24609898791476278</v>
      </c>
      <c r="M10" s="457">
        <f t="shared" ref="M10" si="2">M9/M8</f>
        <v>0.25299461816998864</v>
      </c>
      <c r="N10" s="15"/>
    </row>
    <row r="11" spans="1:14" x14ac:dyDescent="0.3">
      <c r="A11" s="126"/>
      <c r="B11" s="151" t="str">
        <f>CHOOSE(LanguagePage!$C$447,LanguagePage!$C454,LanguagePage!$E454)</f>
        <v>EBITDAR</v>
      </c>
      <c r="C11" s="450" t="str">
        <f>CHOOSE(LanguagePage!$C$447,LanguagePage!$D454,LanguagePage!$F454)</f>
        <v>тыс. BYN</v>
      </c>
      <c r="D11" s="456">
        <f>FY_IFRS_EBITDA!C19</f>
        <v>195952</v>
      </c>
      <c r="E11" s="456">
        <f>FY_IFRS_EBITDA!D19</f>
        <v>283845</v>
      </c>
      <c r="F11" s="456">
        <f>FY_IFRS_EBITDA!E19</f>
        <v>343798</v>
      </c>
      <c r="G11" s="456">
        <f>FY_IFRS_EBITDA!F19</f>
        <v>461818</v>
      </c>
      <c r="H11" s="456">
        <f>FY_IFRS_EBITDA!G19</f>
        <v>512556</v>
      </c>
      <c r="I11" s="456">
        <f>FY_IFRS_EBITDA!H19</f>
        <v>440149</v>
      </c>
      <c r="J11" s="456">
        <f>FY_IFRS_EBITDA!I19</f>
        <v>579361</v>
      </c>
      <c r="K11" s="304"/>
      <c r="L11" s="456">
        <f>FY_IFRS_EBITDA!K19</f>
        <v>440149</v>
      </c>
      <c r="M11" s="456">
        <f>FY_IFRS_EBITDA!L19</f>
        <v>579361</v>
      </c>
      <c r="N11" s="15"/>
    </row>
    <row r="12" spans="1:14" x14ac:dyDescent="0.3">
      <c r="A12" s="126"/>
      <c r="B12" s="152" t="str">
        <f>CHOOSE(LanguagePage!$C$447,LanguagePage!$C455,LanguagePage!$E455)</f>
        <v>EBITDAR маржа</v>
      </c>
      <c r="C12" s="451" t="str">
        <f>CHOOSE(LanguagePage!$C$447,LanguagePage!$D455,LanguagePage!$F455)</f>
        <v>%</v>
      </c>
      <c r="D12" s="457">
        <f>D11/D8</f>
        <v>8.1377780915558182E-2</v>
      </c>
      <c r="E12" s="457">
        <f t="shared" ref="E12:J12" si="3">E11/E8</f>
        <v>9.5040528124589824E-2</v>
      </c>
      <c r="F12" s="457">
        <f t="shared" si="3"/>
        <v>9.4482186239268323E-2</v>
      </c>
      <c r="G12" s="457">
        <f t="shared" si="3"/>
        <v>0.11742724841658655</v>
      </c>
      <c r="H12" s="457">
        <f t="shared" si="3"/>
        <v>0.11496558250453139</v>
      </c>
      <c r="I12" s="457">
        <f t="shared" si="3"/>
        <v>8.9505385790136185E-2</v>
      </c>
      <c r="J12" s="457">
        <f t="shared" si="3"/>
        <v>0.10957731214897767</v>
      </c>
      <c r="K12" s="304"/>
      <c r="L12" s="457">
        <f t="shared" ref="L12" si="4">L11/L8</f>
        <v>8.9505385790136185E-2</v>
      </c>
      <c r="M12" s="457">
        <f t="shared" ref="M12" si="5">M11/M8</f>
        <v>0.10957731214897767</v>
      </c>
      <c r="N12" s="15"/>
    </row>
    <row r="13" spans="1:14" x14ac:dyDescent="0.3">
      <c r="A13" s="126"/>
      <c r="B13" s="151" t="str">
        <f>CHOOSE(LanguagePage!$C$447,LanguagePage!$C456,LanguagePage!$E456)</f>
        <v xml:space="preserve">EBITDA </v>
      </c>
      <c r="C13" s="450" t="str">
        <f>CHOOSE(LanguagePage!$C$447,LanguagePage!$D456,LanguagePage!$F456)</f>
        <v>тыс. BYN</v>
      </c>
      <c r="D13" s="456">
        <f>FY_IFRS_EBITDA!C14</f>
        <v>159518</v>
      </c>
      <c r="E13" s="456">
        <f>FY_IFRS_EBITDA!D14</f>
        <v>221477</v>
      </c>
      <c r="F13" s="456">
        <f>FY_IFRS_EBITDA!E14</f>
        <v>257423</v>
      </c>
      <c r="G13" s="456">
        <f>FY_IFRS_EBITDA!F14</f>
        <v>371684</v>
      </c>
      <c r="H13" s="456">
        <f>FY_IFRS_EBITDA!G14</f>
        <v>396131</v>
      </c>
      <c r="I13" s="456">
        <f>FY_IFRS_EBITDA!H14</f>
        <v>305767</v>
      </c>
      <c r="J13" s="456">
        <f>FY_IFRS_EBITDA!I14</f>
        <v>436910</v>
      </c>
      <c r="K13" s="304"/>
      <c r="L13" s="456">
        <f>FY_IFRS_EBITDA!K14</f>
        <v>434547</v>
      </c>
      <c r="M13" s="456">
        <f>FY_IFRS_EBITDA!L14</f>
        <v>576166</v>
      </c>
      <c r="N13" s="15"/>
    </row>
    <row r="14" spans="1:14" x14ac:dyDescent="0.3">
      <c r="A14" s="126"/>
      <c r="B14" s="152" t="str">
        <f>CHOOSE(LanguagePage!$C$447,LanguagePage!$C457,LanguagePage!$E457)</f>
        <v>EBITDA маржа</v>
      </c>
      <c r="C14" s="451" t="str">
        <f>CHOOSE(LanguagePage!$C$447,LanguagePage!$D457,LanguagePage!$F457)</f>
        <v>%</v>
      </c>
      <c r="D14" s="457">
        <f>D13/D8</f>
        <v>6.6246942394504821E-2</v>
      </c>
      <c r="E14" s="457">
        <f t="shared" ref="E14:J14" si="6">E13/E8</f>
        <v>7.4157695388151215E-2</v>
      </c>
      <c r="F14" s="457">
        <f t="shared" si="6"/>
        <v>7.0744704239905906E-2</v>
      </c>
      <c r="G14" s="457">
        <f t="shared" si="6"/>
        <v>9.4508722917838961E-2</v>
      </c>
      <c r="H14" s="457">
        <f t="shared" si="6"/>
        <v>8.885162043386971E-2</v>
      </c>
      <c r="I14" s="457">
        <f t="shared" si="6"/>
        <v>6.2178474327767574E-2</v>
      </c>
      <c r="J14" s="457">
        <f t="shared" si="6"/>
        <v>8.2634874371954339E-2</v>
      </c>
      <c r="K14" s="304"/>
      <c r="L14" s="457">
        <f t="shared" ref="L14" si="7">L13/L8</f>
        <v>8.8366205259914954E-2</v>
      </c>
      <c r="M14" s="457">
        <f t="shared" ref="M14" si="8">M13/M8</f>
        <v>0.10897302654411994</v>
      </c>
      <c r="N14" s="15"/>
    </row>
    <row r="15" spans="1:14" x14ac:dyDescent="0.3">
      <c r="A15" s="126"/>
      <c r="B15" s="151" t="str">
        <f>CHOOSE(LanguagePage!$C$447,LanguagePage!$C458,LanguagePage!$E458)</f>
        <v>EBIT</v>
      </c>
      <c r="C15" s="450" t="str">
        <f>CHOOSE(LanguagePage!$C$447,LanguagePage!$D458,LanguagePage!$F458)</f>
        <v>тыс. BYN</v>
      </c>
      <c r="D15" s="456">
        <f>FY_IFRS_PL!C36</f>
        <v>125531</v>
      </c>
      <c r="E15" s="456">
        <f>FY_IFRS_PL!D36</f>
        <v>166509</v>
      </c>
      <c r="F15" s="456">
        <f>FY_IFRS_PL!E36</f>
        <v>183513</v>
      </c>
      <c r="G15" s="456">
        <f>FY_IFRS_PL!F36</f>
        <v>283554</v>
      </c>
      <c r="H15" s="456">
        <f>FY_IFRS_PL!G36</f>
        <v>312352</v>
      </c>
      <c r="I15" s="456">
        <f>FY_IFRS_PL!H36</f>
        <v>205001</v>
      </c>
      <c r="J15" s="456">
        <f>FY_IFRS_PL!I36</f>
        <v>343535</v>
      </c>
      <c r="K15" s="304"/>
      <c r="L15" s="456">
        <f>FY_IFRS_PL!K36</f>
        <v>245113</v>
      </c>
      <c r="M15" s="456">
        <f>FY_IFRS_PL!L36</f>
        <v>396781</v>
      </c>
      <c r="N15" s="15"/>
    </row>
    <row r="16" spans="1:14" x14ac:dyDescent="0.3">
      <c r="A16" s="126"/>
      <c r="B16" s="152" t="str">
        <f>CHOOSE(LanguagePage!$C$447,LanguagePage!$C459,LanguagePage!$E459)</f>
        <v>EBIT маржа</v>
      </c>
      <c r="C16" s="451" t="str">
        <f>CHOOSE(LanguagePage!$C$447,LanguagePage!$D459,LanguagePage!$F459)</f>
        <v>%</v>
      </c>
      <c r="D16" s="457">
        <f>D15/D8</f>
        <v>5.2132329428181051E-2</v>
      </c>
      <c r="E16" s="457">
        <f t="shared" ref="E16:J16" si="9">E15/E8</f>
        <v>5.5752623077726673E-2</v>
      </c>
      <c r="F16" s="457">
        <f t="shared" si="9"/>
        <v>5.0432839758599086E-2</v>
      </c>
      <c r="G16" s="457">
        <f t="shared" si="9"/>
        <v>7.2099757907913467E-2</v>
      </c>
      <c r="H16" s="457">
        <f t="shared" si="9"/>
        <v>7.0060109776210577E-2</v>
      </c>
      <c r="I16" s="457">
        <f t="shared" si="9"/>
        <v>4.1687459456601531E-2</v>
      </c>
      <c r="J16" s="457">
        <f t="shared" si="9"/>
        <v>6.4974414793365534E-2</v>
      </c>
      <c r="K16" s="304"/>
      <c r="L16" s="457">
        <f t="shared" ref="L16" si="10">L15/L8</f>
        <v>4.9844333685133108E-2</v>
      </c>
      <c r="M16" s="457">
        <f t="shared" ref="M16" si="11">M15/M8</f>
        <v>7.5045085001896078E-2</v>
      </c>
      <c r="N16" s="15"/>
    </row>
    <row r="17" spans="1:23" x14ac:dyDescent="0.3">
      <c r="A17" s="126"/>
      <c r="B17" s="151" t="str">
        <f>CHOOSE(LanguagePage!$C$447,LanguagePage!$C460,LanguagePage!$E460)</f>
        <v>Чистый торговый рабочий капитал</v>
      </c>
      <c r="C17" s="450" t="str">
        <f>CHOOSE(LanguagePage!$C$447,LanguagePage!$D460,LanguagePage!$F460)</f>
        <v>тыс. BYN</v>
      </c>
      <c r="D17" s="456">
        <v>-44266</v>
      </c>
      <c r="E17" s="456">
        <v>-126774</v>
      </c>
      <c r="F17" s="456">
        <v>-242899</v>
      </c>
      <c r="G17" s="456">
        <v>-132858</v>
      </c>
      <c r="H17" s="456">
        <v>-248235</v>
      </c>
      <c r="I17" s="456">
        <v>-240526</v>
      </c>
      <c r="J17" s="456">
        <v>-12923</v>
      </c>
      <c r="K17" s="304"/>
      <c r="L17" s="456">
        <v>-240526</v>
      </c>
      <c r="M17" s="456">
        <v>-12923</v>
      </c>
      <c r="N17" s="15"/>
    </row>
    <row r="18" spans="1:23" x14ac:dyDescent="0.3">
      <c r="A18" s="126"/>
      <c r="B18" s="238" t="str">
        <f>CHOOSE(LanguagePage!$C$447,LanguagePage!$C461,LanguagePage!$E461)</f>
        <v>% от выручки</v>
      </c>
      <c r="C18" s="450" t="str">
        <f>CHOOSE(LanguagePage!$C$447,LanguagePage!$D461,LanguagePage!$F461)</f>
        <v>%</v>
      </c>
      <c r="D18" s="457">
        <f>D17/D8</f>
        <v>-1.8383424767331277E-2</v>
      </c>
      <c r="E18" s="457">
        <f t="shared" ref="E18:J18" si="12">E17/E8</f>
        <v>-4.2448054087501103E-2</v>
      </c>
      <c r="F18" s="457">
        <f t="shared" si="12"/>
        <v>-6.6753234618386489E-2</v>
      </c>
      <c r="G18" s="457">
        <f t="shared" si="12"/>
        <v>-3.3782029652657225E-2</v>
      </c>
      <c r="H18" s="457">
        <f t="shared" si="12"/>
        <v>-5.5678757780637335E-2</v>
      </c>
      <c r="I18" s="457">
        <f t="shared" si="12"/>
        <v>-4.8911555910744538E-2</v>
      </c>
      <c r="J18" s="457">
        <f t="shared" si="12"/>
        <v>-2.4441886921992306E-3</v>
      </c>
      <c r="K18" s="304"/>
      <c r="L18" s="457">
        <f t="shared" ref="L18" si="13">L17/L8</f>
        <v>-4.8911555910744538E-2</v>
      </c>
      <c r="M18" s="457">
        <f t="shared" ref="M18" si="14">M17/M8</f>
        <v>-2.4441886921992306E-3</v>
      </c>
    </row>
    <row r="19" spans="1:23" x14ac:dyDescent="0.3">
      <c r="A19" s="126"/>
      <c r="B19" s="151" t="str">
        <f>CHOOSE(LanguagePage!$C$447,LanguagePage!$C462,LanguagePage!$E462)</f>
        <v>Скорр. свободный денежный поток (1)</v>
      </c>
      <c r="C19" s="450" t="str">
        <f>CHOOSE(LanguagePage!$C$447,LanguagePage!$D462,LanguagePage!$F462)</f>
        <v>тыс. BYN</v>
      </c>
      <c r="D19" s="456">
        <f>FY_IFRS_CF!C39+FY_IFRS_CF!C44+FY_IFRS_CF!C45+FY_IFRS_CF!C47</f>
        <v>-104738</v>
      </c>
      <c r="E19" s="456">
        <f>FY_IFRS_CF!D39+FY_IFRS_CF!D44+FY_IFRS_CF!D45+FY_IFRS_CF!D47</f>
        <v>229076</v>
      </c>
      <c r="F19" s="456">
        <f>FY_IFRS_CF!E39+FY_IFRS_CF!E44+FY_IFRS_CF!E45+FY_IFRS_CF!E47</f>
        <v>309861</v>
      </c>
      <c r="G19" s="456">
        <f>FY_IFRS_CF!F39+FY_IFRS_CF!F44+FY_IFRS_CF!F45+FY_IFRS_CF!F47</f>
        <v>195315</v>
      </c>
      <c r="H19" s="456">
        <f>FY_IFRS_CF!G39+FY_IFRS_CF!G44+FY_IFRS_CF!G45+FY_IFRS_CF!G47</f>
        <v>376204</v>
      </c>
      <c r="I19" s="456">
        <f>FY_IFRS_CF!H39+FY_IFRS_CF!H44+FY_IFRS_CF!H45+FY_IFRS_CF!H47</f>
        <v>370143</v>
      </c>
      <c r="J19" s="456">
        <f>FY_IFRS_CF!I39+FY_IFRS_CF!I44+FY_IFRS_CF!I45+FY_IFRS_CF!I47-(I17-J17)</f>
        <v>282892</v>
      </c>
      <c r="K19" s="304"/>
      <c r="L19" s="456">
        <f>FY_IFRS_CF!K39+FY_IFRS_CF!K44+FY_IFRS_CF!K45+FY_IFRS_CF!K47</f>
        <v>506223</v>
      </c>
      <c r="M19" s="456">
        <f>FY_IFRS_CF!L39+FY_IFRS_CF!L44+FY_IFRS_CF!L45+FY_IFRS_CF!L47-(L17-M17)</f>
        <v>414269</v>
      </c>
      <c r="N19" s="15"/>
    </row>
    <row r="20" spans="1:23" x14ac:dyDescent="0.3">
      <c r="A20" s="126"/>
      <c r="B20" s="153"/>
      <c r="C20" s="452"/>
      <c r="D20" s="458"/>
      <c r="E20" s="458"/>
      <c r="F20" s="458"/>
      <c r="G20" s="458"/>
      <c r="H20" s="458"/>
      <c r="I20" s="458"/>
      <c r="J20" s="459"/>
      <c r="K20" s="304"/>
      <c r="L20" s="458"/>
      <c r="M20" s="459"/>
      <c r="N20" s="15"/>
    </row>
    <row r="21" spans="1:23" x14ac:dyDescent="0.3">
      <c r="A21" s="126"/>
      <c r="B21" s="155" t="str">
        <f>CHOOSE(LanguagePage!$C$447,LanguagePage!$C463,LanguagePage!$E463)</f>
        <v>ДОЛГОВАЯ НАГРУЗКА</v>
      </c>
      <c r="C21" s="453"/>
      <c r="D21" s="459"/>
      <c r="E21" s="459"/>
      <c r="F21" s="459"/>
      <c r="G21" s="459"/>
      <c r="H21" s="459"/>
      <c r="I21" s="459"/>
      <c r="J21" s="459"/>
      <c r="K21" s="304"/>
      <c r="L21" s="459"/>
      <c r="M21" s="459"/>
      <c r="N21" s="15"/>
      <c r="T21" s="2"/>
      <c r="U21" s="7"/>
      <c r="V21" s="2"/>
      <c r="W21" s="2"/>
    </row>
    <row r="22" spans="1:23" x14ac:dyDescent="0.3">
      <c r="A22" s="126"/>
      <c r="B22" s="156" t="str">
        <f>CHOOSE(LanguagePage!$C$447,LanguagePage!$C464,LanguagePage!$E464)</f>
        <v>Чистый долг</v>
      </c>
      <c r="C22" s="449" t="str">
        <f>CHOOSE(LanguagePage!$C$447,LanguagePage!$D464,LanguagePage!$F464)</f>
        <v>тыс. BYN</v>
      </c>
      <c r="D22" s="455">
        <f>FY_IFRS_Debt!C25</f>
        <v>767851</v>
      </c>
      <c r="E22" s="455">
        <f>FY_IFRS_Debt!D25</f>
        <v>1240281</v>
      </c>
      <c r="F22" s="455">
        <f>FY_IFRS_Debt!E25</f>
        <v>1210922</v>
      </c>
      <c r="G22" s="455">
        <f>FY_IFRS_Debt!F25</f>
        <v>1192581</v>
      </c>
      <c r="H22" s="455">
        <f>FY_IFRS_Debt!G25</f>
        <v>1073597</v>
      </c>
      <c r="I22" s="455">
        <f>FY_IFRS_Debt!H25</f>
        <v>924832</v>
      </c>
      <c r="J22" s="455">
        <f>FY_IFRS_Debt!I25</f>
        <v>1318103</v>
      </c>
      <c r="K22" s="304"/>
      <c r="L22" s="455">
        <f>FY_IFRS_Debt!K25</f>
        <v>1279849</v>
      </c>
      <c r="M22" s="455">
        <f>FY_IFRS_Debt!L25</f>
        <v>1795540</v>
      </c>
      <c r="N22" s="15"/>
      <c r="T22" s="6"/>
    </row>
    <row r="23" spans="1:23" s="3" customFormat="1" x14ac:dyDescent="0.3">
      <c r="B23" s="157" t="str">
        <f>CHOOSE(LanguagePage!$C$447,LanguagePage!$C465,LanguagePage!$E465)</f>
        <v xml:space="preserve">Чистый долг / EBITDA </v>
      </c>
      <c r="C23" s="450" t="str">
        <f>CHOOSE(LanguagePage!$C$447,LanguagePage!$D465,LanguagePage!$F465)</f>
        <v>раз</v>
      </c>
      <c r="D23" s="460">
        <f t="shared" ref="D23:I23" si="15">D22/D13</f>
        <v>4.8135696285058742</v>
      </c>
      <c r="E23" s="460">
        <f t="shared" si="15"/>
        <v>5.6000442483869657</v>
      </c>
      <c r="F23" s="460">
        <f t="shared" si="15"/>
        <v>4.7040163466356928</v>
      </c>
      <c r="G23" s="460">
        <f t="shared" si="15"/>
        <v>3.2085884783848644</v>
      </c>
      <c r="H23" s="461">
        <f t="shared" si="15"/>
        <v>2.7102069769848862</v>
      </c>
      <c r="I23" s="461">
        <f t="shared" si="15"/>
        <v>3.0246298652241741</v>
      </c>
      <c r="J23" s="461">
        <f>J22/J13</f>
        <v>3.0168753290151291</v>
      </c>
      <c r="K23" s="321"/>
      <c r="L23" s="461">
        <f>L22/L13</f>
        <v>2.9452487302869423</v>
      </c>
      <c r="M23" s="461">
        <f>M22/M13</f>
        <v>3.116358827143566</v>
      </c>
      <c r="N23" s="5"/>
    </row>
    <row r="24" spans="1:23" s="5" customFormat="1" ht="14.4" thickBot="1" x14ac:dyDescent="0.35">
      <c r="B24" s="187" t="str">
        <f>CHOOSE(LanguagePage!$C$447,LanguagePage!$C466,LanguagePage!$E466)</f>
        <v>EBITDA  / Процентные расходы</v>
      </c>
      <c r="C24" s="454" t="str">
        <f>CHOOSE(LanguagePage!$C$447,LanguagePage!$D466,LanguagePage!$F466)</f>
        <v>раз</v>
      </c>
      <c r="D24" s="462">
        <f>FY_IFRS_Debt!C33</f>
        <v>3.2984161118233324</v>
      </c>
      <c r="E24" s="462">
        <f>FY_IFRS_Debt!D33</f>
        <v>2.1236036934405953</v>
      </c>
      <c r="F24" s="462">
        <f>FY_IFRS_Debt!E33</f>
        <v>1.8874176069917663</v>
      </c>
      <c r="G24" s="462">
        <f>FY_IFRS_Debt!F33</f>
        <v>2.737620517202012</v>
      </c>
      <c r="H24" s="462">
        <f>FY_IFRS_Debt!G33</f>
        <v>3.0171065158612285</v>
      </c>
      <c r="I24" s="462">
        <f>FY_IFRS_Debt!H33</f>
        <v>2.389756856247411</v>
      </c>
      <c r="J24" s="462">
        <f>FY_IFRS_Debt!I33</f>
        <v>3.578443015684508</v>
      </c>
      <c r="K24" s="332"/>
      <c r="L24" s="462">
        <f>FY_IFRS_Debt!K33</f>
        <v>2.6313695569240831</v>
      </c>
      <c r="M24" s="462">
        <f>FY_IFRS_Debt!L33</f>
        <v>3.5856639657468605</v>
      </c>
    </row>
    <row r="25" spans="1:23" s="5" customFormat="1" ht="14.4" thickTop="1" x14ac:dyDescent="0.3">
      <c r="B25" s="185"/>
      <c r="C25" s="109"/>
      <c r="D25" s="186"/>
      <c r="E25" s="186"/>
      <c r="F25" s="186"/>
      <c r="G25" s="186"/>
      <c r="H25" s="158"/>
    </row>
    <row r="26" spans="1:23" s="3" customFormat="1" ht="28.8" customHeight="1" x14ac:dyDescent="0.3">
      <c r="B26" s="473" t="str">
        <f>CHOOSE(LanguagePage!$C$447,LanguagePage!$C471,LanguagePage!$E471)</f>
        <v>(1) "Свободный денежный поток" означает чистый денежный поток от операционной деятельности за вычетом капитальных инвестиций плюс доходы от реализации основных средств. В 2020 году Компания корректирует свободные денежные потоки на изменение торгового оборотного капитала.</v>
      </c>
      <c r="C26" s="473"/>
      <c r="D26" s="473"/>
      <c r="E26" s="473"/>
      <c r="F26" s="473"/>
      <c r="G26" s="473"/>
      <c r="H26" s="473"/>
      <c r="I26" s="473"/>
      <c r="J26" s="473"/>
      <c r="K26" s="473"/>
      <c r="N26" s="5"/>
    </row>
    <row r="27" spans="1:23" s="3" customFormat="1" x14ac:dyDescent="0.3">
      <c r="B27" s="225"/>
      <c r="N27" s="5"/>
    </row>
    <row r="28" spans="1:23" s="3" customFormat="1" x14ac:dyDescent="0.3">
      <c r="N28" s="5"/>
    </row>
    <row r="29" spans="1:23" s="3" customFormat="1" x14ac:dyDescent="0.3">
      <c r="B29" s="4"/>
      <c r="C29" s="4"/>
      <c r="N29" s="5"/>
    </row>
    <row r="30" spans="1:23" s="3" customFormat="1" x14ac:dyDescent="0.3">
      <c r="B30" s="4"/>
      <c r="C30" s="4"/>
      <c r="N30" s="5"/>
    </row>
    <row r="31" spans="1:23" s="3" customFormat="1" x14ac:dyDescent="0.3">
      <c r="B31" s="4"/>
      <c r="C31" s="4"/>
    </row>
    <row r="32" spans="1:23" s="3" customFormat="1" x14ac:dyDescent="0.3">
      <c r="B32" s="4"/>
      <c r="C32" s="4"/>
    </row>
    <row r="33" spans="2:3" s="3" customFormat="1" x14ac:dyDescent="0.3">
      <c r="B33" s="4"/>
      <c r="C33" s="4"/>
    </row>
    <row r="34" spans="2:3" s="3" customFormat="1" x14ac:dyDescent="0.3">
      <c r="B34" s="4"/>
      <c r="C34" s="4"/>
    </row>
    <row r="35" spans="2:3" s="3" customFormat="1" x14ac:dyDescent="0.3">
      <c r="B35" s="4"/>
      <c r="C35" s="4"/>
    </row>
    <row r="36" spans="2:3" s="3" customFormat="1" x14ac:dyDescent="0.3">
      <c r="B36" s="4"/>
      <c r="C36" s="4"/>
    </row>
    <row r="37" spans="2:3" s="3" customFormat="1" x14ac:dyDescent="0.3">
      <c r="B37" s="4"/>
      <c r="C37" s="4"/>
    </row>
    <row r="38" spans="2:3" s="3" customFormat="1" x14ac:dyDescent="0.3">
      <c r="B38" s="4"/>
      <c r="C38" s="4"/>
    </row>
    <row r="39" spans="2:3" s="3" customFormat="1" x14ac:dyDescent="0.3">
      <c r="B39" s="4"/>
      <c r="C39" s="4"/>
    </row>
    <row r="40" spans="2:3" s="3" customFormat="1" x14ac:dyDescent="0.3">
      <c r="B40" s="4"/>
      <c r="C40" s="4"/>
    </row>
    <row r="41" spans="2:3" s="3" customFormat="1" x14ac:dyDescent="0.3">
      <c r="B41" s="4"/>
      <c r="C41" s="4"/>
    </row>
    <row r="42" spans="2:3" s="3" customFormat="1" x14ac:dyDescent="0.3">
      <c r="B42" s="4"/>
      <c r="C42" s="4"/>
    </row>
    <row r="43" spans="2:3" s="3" customFormat="1" x14ac:dyDescent="0.3">
      <c r="B43" s="4"/>
      <c r="C43" s="4"/>
    </row>
    <row r="44" spans="2:3" s="3" customFormat="1" x14ac:dyDescent="0.3">
      <c r="B44" s="4"/>
      <c r="C44" s="4"/>
    </row>
    <row r="45" spans="2:3" s="3" customFormat="1" x14ac:dyDescent="0.3">
      <c r="B45" s="4"/>
      <c r="C45" s="4"/>
    </row>
    <row r="46" spans="2:3" s="3" customFormat="1" x14ac:dyDescent="0.3">
      <c r="B46" s="4"/>
      <c r="C46" s="4"/>
    </row>
  </sheetData>
  <mergeCells count="4">
    <mergeCell ref="B2:F2"/>
    <mergeCell ref="L5:M5"/>
    <mergeCell ref="D5:J5"/>
    <mergeCell ref="B26:K26"/>
  </mergeCells>
  <hyperlinks>
    <hyperlink ref="B4" location="Contents!A1" display="Contents!A1" xr:uid="{00000000-0004-0000-0700-000000000000}"/>
    <hyperlink ref="M2" location="Contents!A1" display="Contents!A1" xr:uid="{00000000-0004-0000-0700-000001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autoPageBreaks="0"/>
  </sheetPr>
  <dimension ref="A1:AA54"/>
  <sheetViews>
    <sheetView showGridLines="0" zoomScale="70" zoomScaleNormal="70" workbookViewId="0">
      <pane ySplit="6" topLeftCell="A7" activePane="bottomLeft" state="frozen"/>
      <selection activeCell="B25" sqref="B25"/>
      <selection pane="bottomLeft"/>
    </sheetView>
  </sheetViews>
  <sheetFormatPr defaultColWidth="9.109375" defaultRowHeight="13.8" x14ac:dyDescent="0.3"/>
  <cols>
    <col min="1" max="1" width="6" style="36" customWidth="1"/>
    <col min="2" max="2" width="69.109375" style="2" customWidth="1"/>
    <col min="3" max="9" width="10.5546875" style="7" customWidth="1"/>
    <col min="10" max="10" width="3.109375" style="275" customWidth="1"/>
    <col min="11" max="12" width="10.5546875" style="7" customWidth="1"/>
    <col min="13" max="13" width="9.109375" style="1"/>
    <col min="14" max="20" width="10.5546875" style="1" customWidth="1"/>
    <col min="21" max="21" width="3.109375" style="1" customWidth="1"/>
    <col min="22" max="23" width="10.5546875" style="1" customWidth="1"/>
    <col min="24" max="24" width="9.109375" style="1"/>
    <col min="25" max="25" width="6.6640625" style="1" customWidth="1"/>
    <col min="26" max="16384" width="9.109375" style="1"/>
  </cols>
  <sheetData>
    <row r="1" spans="1:23" ht="14.1" customHeight="1" x14ac:dyDescent="0.3">
      <c r="B1" s="123"/>
      <c r="C1" s="123"/>
      <c r="D1" s="123"/>
      <c r="E1" s="123"/>
      <c r="F1" s="123"/>
      <c r="G1" s="123"/>
      <c r="H1" s="123"/>
      <c r="I1" s="123"/>
      <c r="J1" s="261"/>
      <c r="K1" s="123"/>
      <c r="L1" s="123"/>
      <c r="N1" s="27"/>
    </row>
    <row r="2" spans="1:23" ht="14.1" customHeight="1" x14ac:dyDescent="0.3">
      <c r="B2" s="465" t="str">
        <f>IF(LanguagePage!$C$187=1,LanguagePage!$C$184,LanguagePage!$C$185)</f>
        <v>ОТЧЕТ О ПРИБЫЛЯХ И УБЫТКАХ</v>
      </c>
      <c r="C2" s="465"/>
      <c r="D2" s="465"/>
      <c r="E2" s="465"/>
      <c r="F2" s="223"/>
      <c r="G2" s="249"/>
      <c r="H2" s="259"/>
      <c r="I2" s="295"/>
      <c r="J2" s="262"/>
      <c r="K2" s="259"/>
      <c r="L2" s="295"/>
      <c r="N2" s="27"/>
      <c r="W2" s="211" t="str">
        <f>Contents!$B$2</f>
        <v>СОДЕРЖАНИЕ</v>
      </c>
    </row>
    <row r="3" spans="1:23" ht="14.1" customHeight="1" x14ac:dyDescent="0.3">
      <c r="C3" s="1"/>
      <c r="D3" s="1"/>
      <c r="E3" s="1"/>
      <c r="F3" s="1"/>
      <c r="G3" s="1"/>
      <c r="H3" s="1"/>
      <c r="I3" s="1"/>
      <c r="J3" s="263"/>
      <c r="K3" s="1"/>
      <c r="L3" s="1"/>
    </row>
    <row r="4" spans="1:23" ht="14.1" customHeight="1" x14ac:dyDescent="0.3">
      <c r="B4" s="210" t="str">
        <f>Contents!$B$4</f>
        <v>Выбор языка: РУССКИЙ</v>
      </c>
      <c r="C4" s="474" t="str">
        <f>CHOOSE(LanguagePage!$C$187,LanguagePage!$D$188,LanguagePage!$D$189)</f>
        <v>тыс. BYN</v>
      </c>
      <c r="D4" s="475"/>
      <c r="E4" s="475"/>
      <c r="F4" s="475"/>
      <c r="G4" s="475"/>
      <c r="H4" s="475"/>
      <c r="I4" s="475"/>
      <c r="J4" s="475"/>
      <c r="K4" s="475"/>
      <c r="L4" s="476"/>
      <c r="N4" s="474" t="str">
        <f>CHOOSE(LanguagePage!$C$187,LanguagePage!E188,LanguagePage!E189)</f>
        <v>тыс. USD</v>
      </c>
      <c r="O4" s="475"/>
      <c r="P4" s="475"/>
      <c r="Q4" s="475"/>
      <c r="R4" s="475"/>
      <c r="S4" s="475"/>
      <c r="T4" s="475"/>
      <c r="U4" s="475"/>
      <c r="V4" s="475"/>
      <c r="W4" s="476"/>
    </row>
    <row r="5" spans="1:23" ht="14.1" customHeight="1" x14ac:dyDescent="0.3">
      <c r="C5" s="477" t="s">
        <v>721</v>
      </c>
      <c r="D5" s="477"/>
      <c r="E5" s="477"/>
      <c r="F5" s="477"/>
      <c r="G5" s="477"/>
      <c r="H5" s="477"/>
      <c r="I5" s="477"/>
      <c r="J5" s="263"/>
      <c r="K5" s="478" t="s">
        <v>722</v>
      </c>
      <c r="L5" s="478"/>
      <c r="N5" s="26">
        <v>1.1850000000000001</v>
      </c>
      <c r="O5" s="26">
        <v>1.586462</v>
      </c>
      <c r="P5" s="26">
        <v>1.9884999999999999</v>
      </c>
      <c r="Q5" s="26">
        <v>1.9318</v>
      </c>
      <c r="R5" s="26">
        <v>2.0366</v>
      </c>
      <c r="S5" s="26">
        <v>2.0914000000000001</v>
      </c>
      <c r="T5" s="26">
        <v>2.4348999999999998</v>
      </c>
      <c r="V5" s="26">
        <f>S5</f>
        <v>2.0914000000000001</v>
      </c>
      <c r="W5" s="26">
        <v>2.4348999999999998</v>
      </c>
    </row>
    <row r="6" spans="1:23" ht="14.1" customHeight="1" x14ac:dyDescent="0.3">
      <c r="B6" s="8"/>
      <c r="C6" s="14">
        <f>CHOOSE(LanguagePage!$C$187,LanguagePage!D$191,LanguagePage!D$192)</f>
        <v>2014</v>
      </c>
      <c r="D6" s="14">
        <f>CHOOSE(LanguagePage!$C$187,LanguagePage!E$191,LanguagePage!E$192)</f>
        <v>2015</v>
      </c>
      <c r="E6" s="14">
        <f>CHOOSE(LanguagePage!$C$187,LanguagePage!F$191,LanguagePage!F$192)</f>
        <v>2016</v>
      </c>
      <c r="F6" s="14">
        <f>CHOOSE(LanguagePage!$C$187,LanguagePage!G$191,LanguagePage!G$192)</f>
        <v>2017</v>
      </c>
      <c r="G6" s="14">
        <f>CHOOSE(LanguagePage!$C$187,LanguagePage!H$191,LanguagePage!H$192)</f>
        <v>2018</v>
      </c>
      <c r="H6" s="14">
        <f>CHOOSE(LanguagePage!$C$187,LanguagePage!I$191,LanguagePage!I$192)</f>
        <v>2019</v>
      </c>
      <c r="I6" s="14">
        <f>CHOOSE(LanguagePage!$C$187,LanguagePage!J$191,LanguagePage!J$192)</f>
        <v>2020</v>
      </c>
      <c r="J6" s="264"/>
      <c r="K6" s="255">
        <f>H6</f>
        <v>2019</v>
      </c>
      <c r="L6" s="255">
        <f>I6</f>
        <v>2020</v>
      </c>
      <c r="N6" s="14">
        <f>$C$6</f>
        <v>2014</v>
      </c>
      <c r="O6" s="14">
        <f>$D$6</f>
        <v>2015</v>
      </c>
      <c r="P6" s="14">
        <f>$E$6</f>
        <v>2016</v>
      </c>
      <c r="Q6" s="14">
        <f>$F$6</f>
        <v>2017</v>
      </c>
      <c r="R6" s="14">
        <f>$G$6</f>
        <v>2018</v>
      </c>
      <c r="S6" s="260">
        <f>H6</f>
        <v>2019</v>
      </c>
      <c r="T6" s="260">
        <f>I6</f>
        <v>2020</v>
      </c>
      <c r="U6" s="264"/>
      <c r="V6" s="255">
        <f>K6</f>
        <v>2019</v>
      </c>
      <c r="W6" s="255">
        <f>L6</f>
        <v>2020</v>
      </c>
    </row>
    <row r="7" spans="1:23" s="36" customFormat="1" x14ac:dyDescent="0.3">
      <c r="B7" s="62"/>
      <c r="C7" s="63"/>
      <c r="D7" s="63"/>
      <c r="E7" s="63"/>
      <c r="F7" s="63"/>
      <c r="G7" s="63"/>
      <c r="H7" s="63"/>
      <c r="I7" s="63"/>
      <c r="J7" s="264"/>
      <c r="K7" s="63"/>
      <c r="L7" s="63"/>
      <c r="N7" s="63"/>
      <c r="O7" s="63"/>
      <c r="P7" s="63"/>
      <c r="Q7" s="63"/>
      <c r="R7" s="63"/>
      <c r="S7" s="63"/>
      <c r="T7" s="63"/>
      <c r="U7" s="264"/>
      <c r="V7" s="63"/>
      <c r="W7" s="63"/>
    </row>
    <row r="8" spans="1:23" x14ac:dyDescent="0.3">
      <c r="A8" s="37"/>
      <c r="B8" s="64" t="str">
        <f>CHOOSE(LanguagePage!$C$187,LanguagePage!$C202,LanguagePage!$D202)</f>
        <v>Выручка, процентные и комиссионные доходы</v>
      </c>
      <c r="C8" s="65">
        <v>2407930</v>
      </c>
      <c r="D8" s="65">
        <v>2986568</v>
      </c>
      <c r="E8" s="65">
        <v>3638760</v>
      </c>
      <c r="F8" s="65">
        <v>3932801</v>
      </c>
      <c r="G8" s="65">
        <v>4458343</v>
      </c>
      <c r="H8" s="65">
        <v>4917570</v>
      </c>
      <c r="I8" s="65">
        <v>5287235</v>
      </c>
      <c r="J8" s="226"/>
      <c r="K8" s="65">
        <v>4917570</v>
      </c>
      <c r="L8" s="65">
        <v>5287235</v>
      </c>
      <c r="M8" s="17"/>
      <c r="N8" s="65">
        <f>C8/N$5</f>
        <v>2032008.4388185653</v>
      </c>
      <c r="O8" s="65">
        <f>D8/O$5</f>
        <v>1882533.5873156746</v>
      </c>
      <c r="P8" s="65">
        <f>E8/P$5</f>
        <v>1829901.9361327635</v>
      </c>
      <c r="Q8" s="65">
        <f>F8/Q$5</f>
        <v>2035822.0312661766</v>
      </c>
      <c r="R8" s="65">
        <f>G8/R$5</f>
        <v>2189110.7728567221</v>
      </c>
      <c r="S8" s="65">
        <f t="shared" ref="S8:T8" si="0">H8/S$5</f>
        <v>2351329.2531318734</v>
      </c>
      <c r="T8" s="65">
        <f t="shared" si="0"/>
        <v>2171438.2520842748</v>
      </c>
      <c r="U8" s="226"/>
      <c r="V8" s="65">
        <f>K8/V$5</f>
        <v>2351329.2531318734</v>
      </c>
      <c r="W8" s="65">
        <f>L8/W$5</f>
        <v>2171438.2520842748</v>
      </c>
    </row>
    <row r="9" spans="1:23" ht="12.6" customHeight="1" x14ac:dyDescent="0.3">
      <c r="A9" s="37"/>
      <c r="B9" s="46"/>
      <c r="C9" s="19"/>
      <c r="D9" s="19"/>
      <c r="E9" s="19"/>
      <c r="F9" s="19"/>
      <c r="G9" s="19"/>
      <c r="H9" s="19"/>
      <c r="I9" s="19"/>
      <c r="J9" s="226"/>
      <c r="K9" s="19"/>
      <c r="L9" s="19"/>
      <c r="M9" s="17"/>
      <c r="N9" s="19"/>
      <c r="O9" s="19"/>
      <c r="P9" s="19"/>
      <c r="Q9" s="19"/>
      <c r="R9" s="19"/>
      <c r="S9" s="19"/>
      <c r="T9" s="19"/>
      <c r="U9" s="226"/>
      <c r="V9" s="19"/>
      <c r="W9" s="19"/>
    </row>
    <row r="10" spans="1:23" x14ac:dyDescent="0.3">
      <c r="A10" s="37"/>
      <c r="B10" s="47" t="str">
        <f>CHOOSE(LanguagePage!$C$187,LanguagePage!$C203,LanguagePage!$D203)</f>
        <v>Себестоимость реализованных товаров и услуг</v>
      </c>
      <c r="C10" s="197">
        <v>-1870701</v>
      </c>
      <c r="D10" s="197">
        <v>-2299849</v>
      </c>
      <c r="E10" s="197">
        <v>-2789399</v>
      </c>
      <c r="F10" s="197">
        <v>-2910087</v>
      </c>
      <c r="G10" s="197">
        <v>-3270472</v>
      </c>
      <c r="H10" s="197">
        <v>-3707361</v>
      </c>
      <c r="I10" s="197">
        <v>-3949593</v>
      </c>
      <c r="J10" s="265"/>
      <c r="K10" s="197">
        <v>-3707361</v>
      </c>
      <c r="L10" s="197">
        <v>-3949593</v>
      </c>
      <c r="M10" s="198"/>
      <c r="N10" s="197">
        <f>C10/N$5</f>
        <v>-1578650.6329113923</v>
      </c>
      <c r="O10" s="197">
        <f>D10/O$5</f>
        <v>-1449671.6593274847</v>
      </c>
      <c r="P10" s="197">
        <f>E10/P$5</f>
        <v>-1402765.4010560724</v>
      </c>
      <c r="Q10" s="197">
        <f>F10/Q$5</f>
        <v>-1506412.1544673361</v>
      </c>
      <c r="R10" s="197">
        <f>G10/R$5</f>
        <v>-1605848.9639595405</v>
      </c>
      <c r="S10" s="197">
        <f t="shared" ref="S10:T10" si="1">H10/S$5</f>
        <v>-1772669.5036817442</v>
      </c>
      <c r="T10" s="197">
        <f t="shared" si="1"/>
        <v>-1622076.060618506</v>
      </c>
      <c r="U10" s="265"/>
      <c r="V10" s="197">
        <f>K10/V$5</f>
        <v>-1772669.5036817442</v>
      </c>
      <c r="W10" s="197">
        <f>L10/W$5</f>
        <v>-1622076.060618506</v>
      </c>
    </row>
    <row r="11" spans="1:23" x14ac:dyDescent="0.3">
      <c r="A11" s="37"/>
      <c r="B11" s="48"/>
      <c r="C11" s="21"/>
      <c r="D11" s="21"/>
      <c r="E11" s="21"/>
      <c r="F11" s="21"/>
      <c r="G11" s="21"/>
      <c r="H11" s="21"/>
      <c r="I11" s="21"/>
      <c r="J11" s="266"/>
      <c r="K11" s="21"/>
      <c r="L11" s="21"/>
      <c r="M11" s="17"/>
      <c r="N11" s="21"/>
      <c r="O11" s="21"/>
      <c r="P11" s="21"/>
      <c r="Q11" s="21"/>
      <c r="R11" s="21"/>
      <c r="S11" s="21"/>
      <c r="T11" s="21"/>
      <c r="U11" s="266"/>
      <c r="V11" s="21"/>
      <c r="W11" s="21"/>
    </row>
    <row r="12" spans="1:23" x14ac:dyDescent="0.3">
      <c r="A12" s="37"/>
      <c r="B12" s="35" t="str">
        <f>CHOOSE(LanguagePage!$C$187,LanguagePage!$C204,LanguagePage!$D204)</f>
        <v>Валовая прибыль</v>
      </c>
      <c r="C12" s="49">
        <f t="shared" ref="C12:Q12" si="2">C8+C10</f>
        <v>537229</v>
      </c>
      <c r="D12" s="49">
        <f t="shared" si="2"/>
        <v>686719</v>
      </c>
      <c r="E12" s="49">
        <f t="shared" si="2"/>
        <v>849361</v>
      </c>
      <c r="F12" s="49">
        <f t="shared" si="2"/>
        <v>1022714</v>
      </c>
      <c r="G12" s="49">
        <f t="shared" si="2"/>
        <v>1187871</v>
      </c>
      <c r="H12" s="49">
        <f t="shared" si="2"/>
        <v>1210209</v>
      </c>
      <c r="I12" s="49">
        <f t="shared" si="2"/>
        <v>1337642</v>
      </c>
      <c r="J12" s="267"/>
      <c r="K12" s="49">
        <f t="shared" si="2"/>
        <v>1210209</v>
      </c>
      <c r="L12" s="49">
        <f t="shared" si="2"/>
        <v>1337642</v>
      </c>
      <c r="M12" s="17"/>
      <c r="N12" s="49">
        <f t="shared" si="2"/>
        <v>453357.80590717308</v>
      </c>
      <c r="O12" s="49">
        <f t="shared" si="2"/>
        <v>432861.92798818997</v>
      </c>
      <c r="P12" s="49">
        <f t="shared" si="2"/>
        <v>427136.53507669107</v>
      </c>
      <c r="Q12" s="49">
        <f t="shared" si="2"/>
        <v>529409.87679884047</v>
      </c>
      <c r="R12" s="49">
        <f>R8+R10</f>
        <v>583261.80889718165</v>
      </c>
      <c r="S12" s="49">
        <f>S8+S10</f>
        <v>578659.74945012922</v>
      </c>
      <c r="T12" s="49">
        <f>T8+T10</f>
        <v>549362.19146576873</v>
      </c>
      <c r="U12" s="267"/>
      <c r="V12" s="49">
        <f>V8+V10</f>
        <v>578659.74945012922</v>
      </c>
      <c r="W12" s="49">
        <f>W8+W10</f>
        <v>549362.19146576873</v>
      </c>
    </row>
    <row r="13" spans="1:23" x14ac:dyDescent="0.3">
      <c r="A13" s="37"/>
      <c r="B13" s="50"/>
      <c r="C13" s="51"/>
      <c r="D13" s="51"/>
      <c r="E13" s="51"/>
      <c r="F13" s="51"/>
      <c r="G13" s="51"/>
      <c r="H13" s="51"/>
      <c r="I13" s="51"/>
      <c r="J13" s="268"/>
      <c r="K13" s="51"/>
      <c r="L13" s="51"/>
      <c r="M13" s="17"/>
      <c r="N13" s="51"/>
      <c r="O13" s="51"/>
      <c r="P13" s="51"/>
      <c r="Q13" s="51"/>
      <c r="R13" s="51"/>
      <c r="S13" s="51"/>
      <c r="T13" s="51"/>
      <c r="U13" s="268"/>
      <c r="V13" s="51"/>
      <c r="W13" s="51"/>
    </row>
    <row r="14" spans="1:23" x14ac:dyDescent="0.3">
      <c r="A14" s="37"/>
      <c r="B14" s="52" t="str">
        <f>CHOOSE(LanguagePage!$C$187,LanguagePage!$C207,LanguagePage!$D207)</f>
        <v>Административные и расходы на реализацию</v>
      </c>
      <c r="C14" s="199">
        <f t="shared" ref="C14:I14" si="3">SUM(C16:C30)</f>
        <v>-401660</v>
      </c>
      <c r="D14" s="199">
        <f t="shared" si="3"/>
        <v>-524032</v>
      </c>
      <c r="E14" s="199">
        <f t="shared" si="3"/>
        <v>-653223</v>
      </c>
      <c r="F14" s="199">
        <f t="shared" si="3"/>
        <v>-728811</v>
      </c>
      <c r="G14" s="199">
        <f t="shared" si="3"/>
        <v>-881143</v>
      </c>
      <c r="H14" s="199">
        <f t="shared" si="3"/>
        <v>-998635</v>
      </c>
      <c r="I14" s="199">
        <f t="shared" si="3"/>
        <v>-987090</v>
      </c>
      <c r="J14" s="269"/>
      <c r="K14" s="199">
        <f>SUM(K16:K30)</f>
        <v>-958523</v>
      </c>
      <c r="L14" s="199">
        <f>SUM(L16:L30)</f>
        <v>-933844</v>
      </c>
      <c r="M14" s="198"/>
      <c r="N14" s="199">
        <f t="shared" ref="N14:T14" si="4">SUM(N16:N30)</f>
        <v>-338953.58649789036</v>
      </c>
      <c r="O14" s="199">
        <f t="shared" si="4"/>
        <v>-330314.87675090862</v>
      </c>
      <c r="P14" s="199">
        <f t="shared" si="4"/>
        <v>-328500.37716872024</v>
      </c>
      <c r="Q14" s="199">
        <f t="shared" si="4"/>
        <v>-377270.42136867176</v>
      </c>
      <c r="R14" s="199">
        <f t="shared" si="4"/>
        <v>-432653.93302563095</v>
      </c>
      <c r="S14" s="199">
        <f t="shared" si="4"/>
        <v>-477495.93573682714</v>
      </c>
      <c r="T14" s="199">
        <f t="shared" si="4"/>
        <v>-405392.41857981851</v>
      </c>
      <c r="U14" s="269"/>
      <c r="V14" s="199">
        <f>SUM(V16:V30)</f>
        <v>-458316.43874916335</v>
      </c>
      <c r="W14" s="199">
        <f>SUM(W16:W30)</f>
        <v>-383524.58006488974</v>
      </c>
    </row>
    <row r="15" spans="1:23" x14ac:dyDescent="0.3">
      <c r="A15" s="37"/>
      <c r="B15" s="53"/>
      <c r="C15" s="200"/>
      <c r="D15" s="200"/>
      <c r="E15" s="200"/>
      <c r="F15" s="200"/>
      <c r="G15" s="200"/>
      <c r="H15" s="200"/>
      <c r="I15" s="200"/>
      <c r="J15" s="270"/>
      <c r="K15" s="200"/>
      <c r="L15" s="200"/>
      <c r="M15" s="198"/>
      <c r="N15" s="200"/>
      <c r="O15" s="200"/>
      <c r="P15" s="200"/>
      <c r="Q15" s="200"/>
      <c r="R15" s="200"/>
      <c r="S15" s="200"/>
      <c r="T15" s="200"/>
      <c r="U15" s="270"/>
      <c r="V15" s="200"/>
      <c r="W15" s="200"/>
    </row>
    <row r="16" spans="1:23" x14ac:dyDescent="0.3">
      <c r="A16" s="37"/>
      <c r="B16" s="279" t="str">
        <f>CHOOSE(LanguagePage!$C$187,LanguagePage!$C210,LanguagePage!$D210)</f>
        <v>Вознаграждения работникам</v>
      </c>
      <c r="C16" s="201">
        <v>-186943</v>
      </c>
      <c r="D16" s="201">
        <v>-218501</v>
      </c>
      <c r="E16" s="201">
        <v>-236738</v>
      </c>
      <c r="F16" s="201">
        <v>-259029</v>
      </c>
      <c r="G16" s="201">
        <v>-314163</v>
      </c>
      <c r="H16" s="201">
        <v>-374266</v>
      </c>
      <c r="I16" s="201">
        <v>-380981</v>
      </c>
      <c r="J16" s="269"/>
      <c r="K16" s="201">
        <v>-374266</v>
      </c>
      <c r="L16" s="201">
        <v>-380981</v>
      </c>
      <c r="M16" s="198"/>
      <c r="N16" s="201">
        <f t="shared" ref="N16:N30" si="5">C16/N$5</f>
        <v>-157757.80590717299</v>
      </c>
      <c r="O16" s="201">
        <f t="shared" ref="O16:O30" si="6">D16/O$5</f>
        <v>-137728.48010226528</v>
      </c>
      <c r="P16" s="201">
        <f t="shared" ref="P16:P30" si="7">E16/P$5</f>
        <v>-119053.55795826</v>
      </c>
      <c r="Q16" s="201">
        <f t="shared" ref="Q16:Q30" si="8">F16/Q$5</f>
        <v>-134086.86199399523</v>
      </c>
      <c r="R16" s="201">
        <f t="shared" ref="R16:R30" si="9">G16/R$5</f>
        <v>-154258.56820190515</v>
      </c>
      <c r="S16" s="201">
        <f t="shared" ref="S16:T21" si="10">H16/S$5</f>
        <v>-178954.76714162761</v>
      </c>
      <c r="T16" s="201">
        <f t="shared" si="10"/>
        <v>-156466.79535093845</v>
      </c>
      <c r="U16" s="269"/>
      <c r="V16" s="201">
        <f t="shared" ref="V16:W21" si="11">K16/V$5</f>
        <v>-178954.76714162761</v>
      </c>
      <c r="W16" s="201">
        <f t="shared" si="11"/>
        <v>-156466.79535093845</v>
      </c>
    </row>
    <row r="17" spans="1:27" x14ac:dyDescent="0.3">
      <c r="A17" s="37"/>
      <c r="B17" s="280" t="str">
        <f>CHOOSE(LanguagePage!$C$187,LanguagePage!$C212,LanguagePage!$D212)</f>
        <v>Отчисления в Фонд социальной защиты населения</v>
      </c>
      <c r="C17" s="202">
        <v>-62063</v>
      </c>
      <c r="D17" s="202">
        <v>-72973</v>
      </c>
      <c r="E17" s="202">
        <v>-77470</v>
      </c>
      <c r="F17" s="202">
        <v>-82428</v>
      </c>
      <c r="G17" s="202">
        <v>-101548</v>
      </c>
      <c r="H17" s="202">
        <v>-119938</v>
      </c>
      <c r="I17" s="202">
        <v>-118115</v>
      </c>
      <c r="J17" s="271"/>
      <c r="K17" s="202">
        <v>-119938</v>
      </c>
      <c r="L17" s="202">
        <v>-118115</v>
      </c>
      <c r="M17" s="198"/>
      <c r="N17" s="202">
        <f t="shared" si="5"/>
        <v>-52373.839662447252</v>
      </c>
      <c r="O17" s="202">
        <f t="shared" si="6"/>
        <v>-45997.319822346828</v>
      </c>
      <c r="P17" s="202">
        <f t="shared" si="7"/>
        <v>-38959.014332411367</v>
      </c>
      <c r="Q17" s="202">
        <f t="shared" si="8"/>
        <v>-42669.013355419818</v>
      </c>
      <c r="R17" s="202">
        <f t="shared" si="9"/>
        <v>-49861.533929097517</v>
      </c>
      <c r="S17" s="202">
        <f t="shared" si="10"/>
        <v>-57348.187816773447</v>
      </c>
      <c r="T17" s="202">
        <f t="shared" si="10"/>
        <v>-48509.179021725744</v>
      </c>
      <c r="U17" s="271"/>
      <c r="V17" s="202">
        <f t="shared" si="11"/>
        <v>-57348.187816773447</v>
      </c>
      <c r="W17" s="202">
        <f t="shared" si="11"/>
        <v>-48509.179021725744</v>
      </c>
      <c r="Y17" s="2"/>
      <c r="Z17" s="2"/>
      <c r="AA17" s="2"/>
    </row>
    <row r="18" spans="1:27" s="3" customFormat="1" x14ac:dyDescent="0.3">
      <c r="A18" s="20"/>
      <c r="B18" s="280" t="str">
        <f>CHOOSE(LanguagePage!$C$187,LanguagePage!$C214,LanguagePage!$D214)</f>
        <v>Арендная плата</v>
      </c>
      <c r="C18" s="202">
        <v>-36434</v>
      </c>
      <c r="D18" s="202">
        <v>-62368</v>
      </c>
      <c r="E18" s="202">
        <v>-86375</v>
      </c>
      <c r="F18" s="202">
        <v>-90134</v>
      </c>
      <c r="G18" s="202">
        <v>-116425</v>
      </c>
      <c r="H18" s="202">
        <v>-134382</v>
      </c>
      <c r="I18" s="202">
        <f>-3195-139256</f>
        <v>-142451</v>
      </c>
      <c r="J18" s="271"/>
      <c r="K18" s="202">
        <v>-5602</v>
      </c>
      <c r="L18" s="202">
        <f>-3195</f>
        <v>-3195</v>
      </c>
      <c r="M18" s="291"/>
      <c r="N18" s="202">
        <f t="shared" si="5"/>
        <v>-30745.991561181432</v>
      </c>
      <c r="O18" s="202">
        <f t="shared" si="6"/>
        <v>-39312.634024640989</v>
      </c>
      <c r="P18" s="202">
        <f t="shared" si="7"/>
        <v>-43437.264269549916</v>
      </c>
      <c r="Q18" s="202">
        <f t="shared" si="8"/>
        <v>-46658.039134485975</v>
      </c>
      <c r="R18" s="202">
        <f t="shared" si="9"/>
        <v>-57166.355690857315</v>
      </c>
      <c r="S18" s="202">
        <f t="shared" si="10"/>
        <v>-64254.566319212005</v>
      </c>
      <c r="T18" s="202">
        <f t="shared" si="10"/>
        <v>-58503.83999342889</v>
      </c>
      <c r="U18" s="271"/>
      <c r="V18" s="202">
        <f t="shared" si="11"/>
        <v>-2678.5885053074494</v>
      </c>
      <c r="W18" s="202">
        <f t="shared" si="11"/>
        <v>-1312.1688775719742</v>
      </c>
    </row>
    <row r="19" spans="1:27" s="3" customFormat="1" x14ac:dyDescent="0.3">
      <c r="A19" s="20"/>
      <c r="B19" s="280" t="str">
        <f>CHOOSE(LanguagePage!$C$187,LanguagePage!$C216,LanguagePage!$D216)</f>
        <v>Коммунальные расходы</v>
      </c>
      <c r="C19" s="202">
        <v>-27088</v>
      </c>
      <c r="D19" s="202">
        <v>-52601</v>
      </c>
      <c r="E19" s="202">
        <v>-78684</v>
      </c>
      <c r="F19" s="202">
        <v>-80211</v>
      </c>
      <c r="G19" s="202">
        <v>-92794</v>
      </c>
      <c r="H19" s="202">
        <v>-95924</v>
      </c>
      <c r="I19" s="202">
        <v>-108016</v>
      </c>
      <c r="J19" s="271"/>
      <c r="K19" s="202">
        <v>-95924</v>
      </c>
      <c r="L19" s="202">
        <v>-108016</v>
      </c>
      <c r="M19" s="291"/>
      <c r="N19" s="202">
        <f t="shared" si="5"/>
        <v>-22859.071729957806</v>
      </c>
      <c r="O19" s="202">
        <f t="shared" si="6"/>
        <v>-33156.167623302666</v>
      </c>
      <c r="P19" s="202">
        <f t="shared" si="7"/>
        <v>-39569.524767412622</v>
      </c>
      <c r="Q19" s="202">
        <f t="shared" si="8"/>
        <v>-41521.379024743765</v>
      </c>
      <c r="R19" s="202">
        <f t="shared" si="9"/>
        <v>-45563.193557890605</v>
      </c>
      <c r="S19" s="202">
        <f t="shared" si="10"/>
        <v>-45865.927130152049</v>
      </c>
      <c r="T19" s="202">
        <f t="shared" si="10"/>
        <v>-44361.575424042057</v>
      </c>
      <c r="U19" s="271"/>
      <c r="V19" s="202">
        <f t="shared" si="11"/>
        <v>-45865.927130152049</v>
      </c>
      <c r="W19" s="202">
        <f t="shared" si="11"/>
        <v>-44361.575424042057</v>
      </c>
    </row>
    <row r="20" spans="1:27" s="3" customFormat="1" x14ac:dyDescent="0.3">
      <c r="A20" s="20"/>
      <c r="B20" s="280" t="str">
        <f>CHOOSE(LanguagePage!$C$187,LanguagePage!$C218,LanguagePage!$D218)</f>
        <v>Амортизация основных средств</v>
      </c>
      <c r="C20" s="202">
        <v>-31235</v>
      </c>
      <c r="D20" s="202">
        <v>-50484</v>
      </c>
      <c r="E20" s="202">
        <v>-68716</v>
      </c>
      <c r="F20" s="202">
        <v>-80314</v>
      </c>
      <c r="G20" s="202">
        <v>-74290</v>
      </c>
      <c r="H20" s="202">
        <v>-89333</v>
      </c>
      <c r="I20" s="202">
        <f>-80169-5595</f>
        <v>-85764</v>
      </c>
      <c r="J20" s="271"/>
      <c r="K20" s="202">
        <v>-81842</v>
      </c>
      <c r="L20" s="202">
        <f>-80169</f>
        <v>-80169</v>
      </c>
      <c r="M20" s="203"/>
      <c r="N20" s="202">
        <f t="shared" si="5"/>
        <v>-26358.649789029536</v>
      </c>
      <c r="O20" s="202">
        <f t="shared" si="6"/>
        <v>-31821.751797395715</v>
      </c>
      <c r="P20" s="202">
        <f t="shared" si="7"/>
        <v>-34556.701030927834</v>
      </c>
      <c r="Q20" s="202">
        <f t="shared" si="8"/>
        <v>-41574.697173620458</v>
      </c>
      <c r="R20" s="202">
        <f t="shared" si="9"/>
        <v>-36477.462437395661</v>
      </c>
      <c r="S20" s="202">
        <f t="shared" si="10"/>
        <v>-42714.449650951516</v>
      </c>
      <c r="T20" s="202">
        <f t="shared" si="10"/>
        <v>-35222.801757772395</v>
      </c>
      <c r="U20" s="271"/>
      <c r="V20" s="202">
        <f t="shared" si="11"/>
        <v>-39132.638424022181</v>
      </c>
      <c r="W20" s="202">
        <f t="shared" si="11"/>
        <v>-32924.966117705044</v>
      </c>
    </row>
    <row r="21" spans="1:27" s="3" customFormat="1" x14ac:dyDescent="0.3">
      <c r="A21" s="20"/>
      <c r="B21" s="280" t="str">
        <f>CHOOSE(LanguagePage!$C$187,LanguagePage!$C220,LanguagePage!$D220)</f>
        <v>Амортизация нематериальных активов</v>
      </c>
      <c r="C21" s="202">
        <v>0</v>
      </c>
      <c r="D21" s="202">
        <v>0</v>
      </c>
      <c r="E21" s="202">
        <v>-168</v>
      </c>
      <c r="F21" s="202">
        <v>-2021</v>
      </c>
      <c r="G21" s="202">
        <v>-2892</v>
      </c>
      <c r="H21" s="202">
        <v>-4500</v>
      </c>
      <c r="I21" s="202">
        <v>-3713</v>
      </c>
      <c r="J21" s="271"/>
      <c r="K21" s="202">
        <v>-4500</v>
      </c>
      <c r="L21" s="202">
        <v>-3713</v>
      </c>
      <c r="M21" s="203"/>
      <c r="N21" s="202">
        <f t="shared" si="5"/>
        <v>0</v>
      </c>
      <c r="O21" s="202">
        <f t="shared" si="6"/>
        <v>0</v>
      </c>
      <c r="P21" s="202">
        <f t="shared" si="7"/>
        <v>-84.485793311541372</v>
      </c>
      <c r="Q21" s="202">
        <f t="shared" si="8"/>
        <v>-1046.1745522310798</v>
      </c>
      <c r="R21" s="202">
        <f t="shared" si="9"/>
        <v>-1420.0137484042032</v>
      </c>
      <c r="S21" s="202">
        <f t="shared" si="10"/>
        <v>-2151.6687386439703</v>
      </c>
      <c r="T21" s="202">
        <f t="shared" si="10"/>
        <v>-1524.908620477227</v>
      </c>
      <c r="U21" s="271"/>
      <c r="V21" s="202">
        <f t="shared" si="11"/>
        <v>-2151.6687386439703</v>
      </c>
      <c r="W21" s="202">
        <f t="shared" si="11"/>
        <v>-1524.908620477227</v>
      </c>
    </row>
    <row r="22" spans="1:27" s="3" customFormat="1" x14ac:dyDescent="0.3">
      <c r="A22" s="20"/>
      <c r="B22" s="280" t="str">
        <f>CHOOSE(LanguagePage!$C$187,LanguagePage!$C221,LanguagePage!$D221)</f>
        <v>Амортизация прав использования</v>
      </c>
      <c r="C22" s="202">
        <v>0</v>
      </c>
      <c r="D22" s="202">
        <v>0</v>
      </c>
      <c r="E22" s="202">
        <v>0</v>
      </c>
      <c r="F22" s="202">
        <v>0</v>
      </c>
      <c r="G22" s="202">
        <v>0</v>
      </c>
      <c r="H22" s="202">
        <v>0</v>
      </c>
      <c r="I22" s="202">
        <v>0</v>
      </c>
      <c r="J22" s="271"/>
      <c r="K22" s="202">
        <v>-96159</v>
      </c>
      <c r="L22" s="202">
        <v>-91605</v>
      </c>
      <c r="M22" s="203"/>
      <c r="N22" s="202">
        <f t="shared" si="5"/>
        <v>0</v>
      </c>
      <c r="O22" s="202">
        <f t="shared" si="6"/>
        <v>0</v>
      </c>
      <c r="P22" s="202">
        <f t="shared" si="7"/>
        <v>0</v>
      </c>
      <c r="Q22" s="202">
        <f t="shared" si="8"/>
        <v>0</v>
      </c>
      <c r="R22" s="202">
        <f t="shared" si="9"/>
        <v>0</v>
      </c>
      <c r="S22" s="202">
        <f>H22/S$5</f>
        <v>0</v>
      </c>
      <c r="T22" s="202">
        <f>I22/T$5</f>
        <v>0</v>
      </c>
      <c r="U22" s="271"/>
      <c r="V22" s="202">
        <f t="shared" ref="V22:W22" si="12">K22/V$5</f>
        <v>-45978.292053170124</v>
      </c>
      <c r="W22" s="202">
        <f t="shared" si="12"/>
        <v>-37621.668240995525</v>
      </c>
    </row>
    <row r="23" spans="1:27" s="3" customFormat="1" x14ac:dyDescent="0.3">
      <c r="A23" s="20"/>
      <c r="B23" s="280" t="str">
        <f>CHOOSE(LanguagePage!$C$187,LanguagePage!$C223,LanguagePage!$D223)</f>
        <v>Прочие материалы и канцелярия</v>
      </c>
      <c r="C23" s="202">
        <v>-14344</v>
      </c>
      <c r="D23" s="202">
        <v>-13420</v>
      </c>
      <c r="E23" s="202">
        <v>-19726</v>
      </c>
      <c r="F23" s="202">
        <v>-24941</v>
      </c>
      <c r="G23" s="202">
        <v>-33898</v>
      </c>
      <c r="H23" s="202">
        <v>-28978</v>
      </c>
      <c r="I23" s="202">
        <v>-38075</v>
      </c>
      <c r="J23" s="271"/>
      <c r="K23" s="202">
        <v>-28978</v>
      </c>
      <c r="L23" s="202">
        <v>-38075</v>
      </c>
      <c r="M23" s="203"/>
      <c r="N23" s="202">
        <f t="shared" si="5"/>
        <v>-12104.64135021097</v>
      </c>
      <c r="O23" s="202">
        <f t="shared" si="6"/>
        <v>-8459.0743427828711</v>
      </c>
      <c r="P23" s="202">
        <f t="shared" si="7"/>
        <v>-9920.0402313301493</v>
      </c>
      <c r="Q23" s="202">
        <f t="shared" si="8"/>
        <v>-12910.756807122891</v>
      </c>
      <c r="R23" s="202">
        <f t="shared" si="9"/>
        <v>-16644.407345575961</v>
      </c>
      <c r="S23" s="202">
        <f t="shared" ref="S23:T30" si="13">H23/S$5</f>
        <v>-13855.790379649994</v>
      </c>
      <c r="T23" s="202">
        <f t="shared" si="13"/>
        <v>-15637.192492504826</v>
      </c>
      <c r="U23" s="271"/>
      <c r="V23" s="202">
        <f t="shared" ref="V23:W30" si="14">K23/V$5</f>
        <v>-13855.790379649994</v>
      </c>
      <c r="W23" s="202">
        <f t="shared" si="14"/>
        <v>-15637.192492504826</v>
      </c>
    </row>
    <row r="24" spans="1:27" s="3" customFormat="1" x14ac:dyDescent="0.3">
      <c r="A24" s="20"/>
      <c r="B24" s="280" t="str">
        <f>CHOOSE(LanguagePage!$C$187,LanguagePage!$C225,LanguagePage!$D225)</f>
        <v>Ремонт и техническое обслуживание</v>
      </c>
      <c r="C24" s="202">
        <v>-6509</v>
      </c>
      <c r="D24" s="202">
        <v>-6954</v>
      </c>
      <c r="E24" s="202">
        <v>-6489</v>
      </c>
      <c r="F24" s="202">
        <v>-9408</v>
      </c>
      <c r="G24" s="202">
        <v>-11141</v>
      </c>
      <c r="H24" s="202">
        <v>-13140</v>
      </c>
      <c r="I24" s="202">
        <v>-8516</v>
      </c>
      <c r="J24" s="271"/>
      <c r="K24" s="202">
        <v>-13140</v>
      </c>
      <c r="L24" s="202">
        <v>-8516</v>
      </c>
      <c r="M24" s="203"/>
      <c r="N24" s="202">
        <f t="shared" si="5"/>
        <v>-5492.827004219409</v>
      </c>
      <c r="O24" s="202">
        <f t="shared" si="6"/>
        <v>-4383.338523078397</v>
      </c>
      <c r="P24" s="202">
        <f t="shared" si="7"/>
        <v>-3263.263766658285</v>
      </c>
      <c r="Q24" s="202">
        <f t="shared" si="8"/>
        <v>-4870.0693653587332</v>
      </c>
      <c r="R24" s="202">
        <f t="shared" si="9"/>
        <v>-5470.3918295197882</v>
      </c>
      <c r="S24" s="202">
        <f t="shared" si="13"/>
        <v>-6282.8727168403939</v>
      </c>
      <c r="T24" s="202">
        <f t="shared" si="13"/>
        <v>-3497.4742289211058</v>
      </c>
      <c r="U24" s="271"/>
      <c r="V24" s="202">
        <f t="shared" si="14"/>
        <v>-6282.8727168403939</v>
      </c>
      <c r="W24" s="202">
        <f t="shared" si="14"/>
        <v>-3497.4742289211058</v>
      </c>
    </row>
    <row r="25" spans="1:27" s="3" customFormat="1" x14ac:dyDescent="0.3">
      <c r="A25" s="20"/>
      <c r="B25" s="279" t="str">
        <f>CHOOSE(LanguagePage!$C$187,LanguagePage!$C227,LanguagePage!$D227)</f>
        <v>Маркетинговые расходы и расходы на рекламу</v>
      </c>
      <c r="C25" s="204">
        <v>-4826</v>
      </c>
      <c r="D25" s="204">
        <v>-5673</v>
      </c>
      <c r="E25" s="204">
        <v>-15463</v>
      </c>
      <c r="F25" s="204">
        <v>-37645</v>
      </c>
      <c r="G25" s="204">
        <v>-49718</v>
      </c>
      <c r="H25" s="204">
        <v>-39068</v>
      </c>
      <c r="I25" s="204">
        <v>-18948</v>
      </c>
      <c r="J25" s="271"/>
      <c r="K25" s="204">
        <v>-39068</v>
      </c>
      <c r="L25" s="204">
        <v>-18948</v>
      </c>
      <c r="M25" s="203"/>
      <c r="N25" s="204">
        <f t="shared" si="5"/>
        <v>-4072.573839662447</v>
      </c>
      <c r="O25" s="204">
        <f t="shared" si="6"/>
        <v>-3575.8814267218499</v>
      </c>
      <c r="P25" s="204">
        <f t="shared" si="7"/>
        <v>-7776.2132260497865</v>
      </c>
      <c r="Q25" s="202">
        <f t="shared" si="8"/>
        <v>-19487.006936535872</v>
      </c>
      <c r="R25" s="202">
        <f t="shared" si="9"/>
        <v>-24412.255720318179</v>
      </c>
      <c r="S25" s="204">
        <f t="shared" si="13"/>
        <v>-18680.309840298363</v>
      </c>
      <c r="T25" s="204">
        <f t="shared" si="13"/>
        <v>-7781.8390899010228</v>
      </c>
      <c r="U25" s="271"/>
      <c r="V25" s="204">
        <f t="shared" si="14"/>
        <v>-18680.309840298363</v>
      </c>
      <c r="W25" s="204">
        <f t="shared" si="14"/>
        <v>-7781.8390899010228</v>
      </c>
    </row>
    <row r="26" spans="1:27" s="3" customFormat="1" x14ac:dyDescent="0.3">
      <c r="A26" s="20"/>
      <c r="B26" s="280" t="str">
        <f>CHOOSE(LanguagePage!$C$187,LanguagePage!$C229,LanguagePage!$D229)</f>
        <v>Профессиональные услуги</v>
      </c>
      <c r="C26" s="202">
        <v>-4992</v>
      </c>
      <c r="D26" s="202">
        <v>-9390</v>
      </c>
      <c r="E26" s="202">
        <v>-9911</v>
      </c>
      <c r="F26" s="202">
        <v>-12853</v>
      </c>
      <c r="G26" s="202">
        <v>-31776</v>
      </c>
      <c r="H26" s="202">
        <v>-40459</v>
      </c>
      <c r="I26" s="202">
        <v>-40098</v>
      </c>
      <c r="J26" s="271"/>
      <c r="K26" s="202">
        <v>-40459</v>
      </c>
      <c r="L26" s="202">
        <v>-40098</v>
      </c>
      <c r="M26" s="203"/>
      <c r="N26" s="202">
        <f t="shared" si="5"/>
        <v>-4212.658227848101</v>
      </c>
      <c r="O26" s="202">
        <f t="shared" si="6"/>
        <v>-5918.8307063137972</v>
      </c>
      <c r="P26" s="202">
        <f t="shared" si="7"/>
        <v>-4984.1589137540859</v>
      </c>
      <c r="Q26" s="202">
        <f t="shared" si="8"/>
        <v>-6653.3802671083968</v>
      </c>
      <c r="R26" s="202">
        <f t="shared" si="9"/>
        <v>-15602.474712756555</v>
      </c>
      <c r="S26" s="202">
        <f t="shared" si="13"/>
        <v>-19345.414554843643</v>
      </c>
      <c r="T26" s="202">
        <f t="shared" si="13"/>
        <v>-16468.027434391559</v>
      </c>
      <c r="U26" s="271"/>
      <c r="V26" s="202">
        <f t="shared" si="14"/>
        <v>-19345.414554843643</v>
      </c>
      <c r="W26" s="202">
        <f t="shared" si="14"/>
        <v>-16468.027434391559</v>
      </c>
    </row>
    <row r="27" spans="1:27" s="3" customFormat="1" x14ac:dyDescent="0.3">
      <c r="A27" s="20"/>
      <c r="B27" s="280" t="str">
        <f>CHOOSE(LanguagePage!$C$187,LanguagePage!$C231,LanguagePage!$D231)</f>
        <v>Вознаграждение аудиторам</v>
      </c>
      <c r="C27" s="202">
        <v>0</v>
      </c>
      <c r="D27" s="202">
        <v>0</v>
      </c>
      <c r="E27" s="202">
        <v>0</v>
      </c>
      <c r="F27" s="202">
        <v>-356</v>
      </c>
      <c r="G27" s="202">
        <v>-241</v>
      </c>
      <c r="H27" s="202">
        <v>-611</v>
      </c>
      <c r="I27" s="202">
        <v>-414</v>
      </c>
      <c r="J27" s="271"/>
      <c r="K27" s="202">
        <v>-611</v>
      </c>
      <c r="L27" s="202">
        <v>-414</v>
      </c>
      <c r="M27" s="203"/>
      <c r="N27" s="202">
        <f t="shared" si="5"/>
        <v>0</v>
      </c>
      <c r="O27" s="202">
        <f t="shared" si="6"/>
        <v>0</v>
      </c>
      <c r="P27" s="202">
        <f t="shared" si="7"/>
        <v>0</v>
      </c>
      <c r="Q27" s="202">
        <f t="shared" si="8"/>
        <v>-184.28408737964594</v>
      </c>
      <c r="R27" s="202">
        <f t="shared" si="9"/>
        <v>-118.33447903368359</v>
      </c>
      <c r="S27" s="202">
        <f t="shared" si="13"/>
        <v>-292.1487998469924</v>
      </c>
      <c r="T27" s="202">
        <f t="shared" si="13"/>
        <v>-170.027516530453</v>
      </c>
      <c r="U27" s="271"/>
      <c r="V27" s="202">
        <f t="shared" si="14"/>
        <v>-292.1487998469924</v>
      </c>
      <c r="W27" s="202">
        <f t="shared" si="14"/>
        <v>-170.027516530453</v>
      </c>
    </row>
    <row r="28" spans="1:27" s="3" customFormat="1" x14ac:dyDescent="0.3">
      <c r="A28" s="20"/>
      <c r="B28" s="280" t="str">
        <f>CHOOSE(LanguagePage!$C$187,LanguagePage!$C233,LanguagePage!$D233)</f>
        <v>Налоги, кроме налога на прибыль</v>
      </c>
      <c r="C28" s="202">
        <v>-8503</v>
      </c>
      <c r="D28" s="202">
        <v>-14763</v>
      </c>
      <c r="E28" s="202">
        <v>-28816</v>
      </c>
      <c r="F28" s="202">
        <v>-33272</v>
      </c>
      <c r="G28" s="202">
        <v>-33087</v>
      </c>
      <c r="H28" s="202">
        <v>-32658</v>
      </c>
      <c r="I28" s="202">
        <v>-24969</v>
      </c>
      <c r="J28" s="271"/>
      <c r="K28" s="202">
        <v>-32658</v>
      </c>
      <c r="L28" s="202">
        <v>-24969</v>
      </c>
      <c r="M28" s="203"/>
      <c r="N28" s="202">
        <f t="shared" si="5"/>
        <v>-7175.5274261603372</v>
      </c>
      <c r="O28" s="202">
        <f t="shared" si="6"/>
        <v>-9305.6121104697122</v>
      </c>
      <c r="P28" s="202">
        <f t="shared" si="7"/>
        <v>-14491.325119436762</v>
      </c>
      <c r="Q28" s="202">
        <f t="shared" si="8"/>
        <v>-17223.31504296511</v>
      </c>
      <c r="R28" s="202">
        <f t="shared" si="9"/>
        <v>-16246.194638122361</v>
      </c>
      <c r="S28" s="202">
        <f t="shared" si="13"/>
        <v>-15615.377259252175</v>
      </c>
      <c r="T28" s="202">
        <f t="shared" si="13"/>
        <v>-10254.630580311306</v>
      </c>
      <c r="U28" s="271"/>
      <c r="V28" s="202">
        <f t="shared" si="14"/>
        <v>-15615.377259252175</v>
      </c>
      <c r="W28" s="202">
        <f t="shared" si="14"/>
        <v>-10254.630580311306</v>
      </c>
    </row>
    <row r="29" spans="1:27" s="3" customFormat="1" x14ac:dyDescent="0.3">
      <c r="A29" s="20"/>
      <c r="B29" s="280" t="str">
        <f>CHOOSE(LanguagePage!$C$187,LanguagePage!$C235,LanguagePage!$D235)</f>
        <v>Обесценение основных средств</v>
      </c>
      <c r="C29" s="202">
        <v>-5203</v>
      </c>
      <c r="D29" s="202">
        <v>-690</v>
      </c>
      <c r="E29" s="202">
        <v>-6093</v>
      </c>
      <c r="F29" s="202">
        <v>-193</v>
      </c>
      <c r="G29" s="202">
        <v>3507</v>
      </c>
      <c r="H29" s="202">
        <v>-1149</v>
      </c>
      <c r="I29" s="202">
        <v>2860</v>
      </c>
      <c r="J29" s="271"/>
      <c r="K29" s="202">
        <v>-1149</v>
      </c>
      <c r="L29" s="202">
        <v>2860</v>
      </c>
      <c r="M29" s="203"/>
      <c r="N29" s="202">
        <f t="shared" si="5"/>
        <v>-4390.7172995780593</v>
      </c>
      <c r="O29" s="202">
        <f t="shared" si="6"/>
        <v>-434.93005190165286</v>
      </c>
      <c r="P29" s="202">
        <f t="shared" si="7"/>
        <v>-3064.1186824239376</v>
      </c>
      <c r="Q29" s="202">
        <f t="shared" si="8"/>
        <v>-99.906822652448497</v>
      </c>
      <c r="R29" s="202">
        <f t="shared" si="9"/>
        <v>1721.9876264362172</v>
      </c>
      <c r="S29" s="202">
        <f t="shared" si="13"/>
        <v>-549.39275126709379</v>
      </c>
      <c r="T29" s="202">
        <f t="shared" si="13"/>
        <v>1174.5862253069943</v>
      </c>
      <c r="U29" s="271"/>
      <c r="V29" s="202">
        <f t="shared" si="14"/>
        <v>-549.39275126709379</v>
      </c>
      <c r="W29" s="202">
        <f t="shared" si="14"/>
        <v>1174.5862253069943</v>
      </c>
    </row>
    <row r="30" spans="1:27" s="3" customFormat="1" x14ac:dyDescent="0.3">
      <c r="A30" s="20"/>
      <c r="B30" s="280" t="str">
        <f>CHOOSE(LanguagePage!$C$187,LanguagePage!$C240,LanguagePage!$D240)</f>
        <v xml:space="preserve">Прочие </v>
      </c>
      <c r="C30" s="202">
        <v>-13520</v>
      </c>
      <c r="D30" s="202">
        <v>-16215</v>
      </c>
      <c r="E30" s="202">
        <v>-18574</v>
      </c>
      <c r="F30" s="202">
        <v>-16006</v>
      </c>
      <c r="G30" s="202">
        <v>-22677</v>
      </c>
      <c r="H30" s="202">
        <v>-24229</v>
      </c>
      <c r="I30" s="202">
        <v>-19890</v>
      </c>
      <c r="J30" s="271"/>
      <c r="K30" s="202">
        <v>-24229</v>
      </c>
      <c r="L30" s="202">
        <v>-19890</v>
      </c>
      <c r="M30" s="203"/>
      <c r="N30" s="202">
        <f t="shared" si="5"/>
        <v>-11409.28270042194</v>
      </c>
      <c r="O30" s="202">
        <f t="shared" si="6"/>
        <v>-10220.856219688842</v>
      </c>
      <c r="P30" s="202">
        <f t="shared" si="7"/>
        <v>-9340.7090771938656</v>
      </c>
      <c r="Q30" s="202">
        <f t="shared" si="8"/>
        <v>-8285.5368050522829</v>
      </c>
      <c r="R30" s="202">
        <f t="shared" si="9"/>
        <v>-11134.73436119022</v>
      </c>
      <c r="S30" s="202">
        <f t="shared" si="13"/>
        <v>-11585.062637467725</v>
      </c>
      <c r="T30" s="202">
        <f t="shared" si="13"/>
        <v>-8168.7132941804593</v>
      </c>
      <c r="U30" s="271"/>
      <c r="V30" s="202">
        <f t="shared" si="14"/>
        <v>-11585.062637467725</v>
      </c>
      <c r="W30" s="202">
        <f t="shared" si="14"/>
        <v>-8168.7132941804593</v>
      </c>
    </row>
    <row r="31" spans="1:27" s="3" customFormat="1" x14ac:dyDescent="0.3">
      <c r="A31" s="20"/>
      <c r="B31" s="279"/>
      <c r="C31" s="204"/>
      <c r="D31" s="204"/>
      <c r="E31" s="204"/>
      <c r="F31" s="204"/>
      <c r="G31" s="204"/>
      <c r="H31" s="204"/>
      <c r="I31" s="204"/>
      <c r="J31" s="271"/>
      <c r="K31" s="204"/>
      <c r="L31" s="204"/>
      <c r="M31" s="203"/>
      <c r="N31" s="204"/>
      <c r="O31" s="204"/>
      <c r="P31" s="204"/>
      <c r="Q31" s="204"/>
      <c r="R31" s="204"/>
      <c r="S31" s="204"/>
      <c r="T31" s="204"/>
      <c r="U31" s="271"/>
      <c r="V31" s="204"/>
      <c r="W31" s="204"/>
    </row>
    <row r="32" spans="1:27" s="3" customFormat="1" x14ac:dyDescent="0.3">
      <c r="A32" s="20"/>
      <c r="B32" s="318" t="str">
        <f>CHOOSE(LanguagePage!$C$187,LanguagePage!$C238,LanguagePage!$D238)</f>
        <v>Изменение в резерве под обесценение финансовых активов</v>
      </c>
      <c r="C32" s="206">
        <v>0</v>
      </c>
      <c r="D32" s="206">
        <v>0</v>
      </c>
      <c r="E32" s="206">
        <v>-2419</v>
      </c>
      <c r="F32" s="206">
        <v>-1774</v>
      </c>
      <c r="G32" s="206">
        <v>6621</v>
      </c>
      <c r="H32" s="206">
        <v>1169</v>
      </c>
      <c r="I32" s="206">
        <v>-408</v>
      </c>
      <c r="J32" s="271"/>
      <c r="K32" s="206">
        <v>1169</v>
      </c>
      <c r="L32" s="206">
        <v>-408</v>
      </c>
      <c r="M32" s="203"/>
      <c r="N32" s="206">
        <f t="shared" ref="N32" si="15">C32/N$5</f>
        <v>0</v>
      </c>
      <c r="O32" s="206">
        <f t="shared" ref="O32" si="16">D32/O$5</f>
        <v>0</v>
      </c>
      <c r="P32" s="206">
        <f t="shared" ref="P32" si="17">E32/P$5</f>
        <v>-1216.4948453608247</v>
      </c>
      <c r="Q32" s="206">
        <f t="shared" ref="Q32" si="18">F32/Q$5</f>
        <v>-918.31452531317939</v>
      </c>
      <c r="R32" s="206">
        <f t="shared" ref="R32" si="19">G32/R$5</f>
        <v>3251.0065795934402</v>
      </c>
      <c r="S32" s="206">
        <f t="shared" ref="S32:T32" si="20">H32/S$5</f>
        <v>558.95572343884476</v>
      </c>
      <c r="T32" s="206">
        <f t="shared" si="20"/>
        <v>-167.56334962421457</v>
      </c>
      <c r="U32" s="271"/>
      <c r="V32" s="206">
        <f t="shared" ref="V32:W32" si="21">K32/V$5</f>
        <v>558.95572343884476</v>
      </c>
      <c r="W32" s="206">
        <f t="shared" si="21"/>
        <v>-167.56334962421457</v>
      </c>
    </row>
    <row r="33" spans="1:23" s="3" customFormat="1" x14ac:dyDescent="0.3">
      <c r="A33" s="20"/>
      <c r="B33" s="281" t="str">
        <f>CHOOSE(LanguagePage!$C$187,LanguagePage!$C243,LanguagePage!$D243)</f>
        <v>Прочие доходы</v>
      </c>
      <c r="C33" s="201">
        <v>2184</v>
      </c>
      <c r="D33" s="201">
        <v>19256</v>
      </c>
      <c r="E33" s="201">
        <v>12227</v>
      </c>
      <c r="F33" s="201">
        <v>15762</v>
      </c>
      <c r="G33" s="201">
        <v>15425</v>
      </c>
      <c r="H33" s="201">
        <v>13531</v>
      </c>
      <c r="I33" s="201">
        <v>14423</v>
      </c>
      <c r="J33" s="269"/>
      <c r="K33" s="201">
        <v>13531</v>
      </c>
      <c r="L33" s="201">
        <v>14423</v>
      </c>
      <c r="M33" s="203"/>
      <c r="N33" s="201">
        <f t="shared" ref="N33:R34" si="22">C33/N$5</f>
        <v>1843.0379746835442</v>
      </c>
      <c r="O33" s="201">
        <f t="shared" si="22"/>
        <v>12137.70011509888</v>
      </c>
      <c r="P33" s="201">
        <f t="shared" si="22"/>
        <v>6148.8559215489067</v>
      </c>
      <c r="Q33" s="201">
        <f t="shared" si="22"/>
        <v>8159.229733926908</v>
      </c>
      <c r="R33" s="201">
        <f t="shared" si="22"/>
        <v>7573.8976725915745</v>
      </c>
      <c r="S33" s="201">
        <f t="shared" ref="S33:T34" si="23">H33/S$5</f>
        <v>6469.8288227981247</v>
      </c>
      <c r="T33" s="201">
        <f t="shared" si="23"/>
        <v>5923.4465481128591</v>
      </c>
      <c r="U33" s="269"/>
      <c r="V33" s="201">
        <f>K33/V$5</f>
        <v>6469.8288227981247</v>
      </c>
      <c r="W33" s="201">
        <f>L33/W$5</f>
        <v>5923.4465481128591</v>
      </c>
    </row>
    <row r="34" spans="1:23" s="3" customFormat="1" x14ac:dyDescent="0.3">
      <c r="A34" s="20"/>
      <c r="B34" s="282" t="str">
        <f>CHOOSE(LanguagePage!$C$187,LanguagePage!$C244,LanguagePage!$D244)</f>
        <v>Прочие расходы</v>
      </c>
      <c r="C34" s="202">
        <v>-12222</v>
      </c>
      <c r="D34" s="202">
        <v>-15434</v>
      </c>
      <c r="E34" s="202">
        <v>-22433</v>
      </c>
      <c r="F34" s="202">
        <v>-24337</v>
      </c>
      <c r="G34" s="202">
        <v>-16422</v>
      </c>
      <c r="H34" s="202">
        <v>-21273</v>
      </c>
      <c r="I34" s="202">
        <v>-21032</v>
      </c>
      <c r="J34" s="271"/>
      <c r="K34" s="202">
        <v>-21273</v>
      </c>
      <c r="L34" s="202">
        <v>-21032</v>
      </c>
      <c r="M34" s="203"/>
      <c r="N34" s="202">
        <f t="shared" si="22"/>
        <v>-10313.924050632912</v>
      </c>
      <c r="O34" s="202">
        <f t="shared" si="22"/>
        <v>-9728.5658276088543</v>
      </c>
      <c r="P34" s="202">
        <f t="shared" si="22"/>
        <v>-11281.367865225044</v>
      </c>
      <c r="Q34" s="202">
        <f t="shared" si="22"/>
        <v>-12598.095040894503</v>
      </c>
      <c r="R34" s="202">
        <f t="shared" si="22"/>
        <v>-8063.4390651085141</v>
      </c>
      <c r="S34" s="202">
        <f t="shared" si="23"/>
        <v>-10171.65535048293</v>
      </c>
      <c r="T34" s="202">
        <f t="shared" si="23"/>
        <v>-8637.7263953345118</v>
      </c>
      <c r="U34" s="271"/>
      <c r="V34" s="202">
        <f>K34/V$5</f>
        <v>-10171.65535048293</v>
      </c>
      <c r="W34" s="202">
        <f>L34/W$5</f>
        <v>-8637.7263953345118</v>
      </c>
    </row>
    <row r="35" spans="1:23" s="3" customFormat="1" x14ac:dyDescent="0.3">
      <c r="A35" s="20"/>
      <c r="B35" s="12"/>
      <c r="C35" s="54"/>
      <c r="D35" s="54"/>
      <c r="E35" s="54"/>
      <c r="F35" s="54"/>
      <c r="G35" s="54"/>
      <c r="H35" s="54"/>
      <c r="I35" s="54"/>
      <c r="J35" s="272"/>
      <c r="K35" s="54"/>
      <c r="L35" s="54"/>
      <c r="M35" s="20"/>
      <c r="N35" s="54"/>
      <c r="O35" s="54"/>
      <c r="P35" s="54"/>
      <c r="Q35" s="54"/>
      <c r="R35" s="54"/>
      <c r="S35" s="54"/>
      <c r="T35" s="54"/>
      <c r="U35" s="272"/>
      <c r="V35" s="54"/>
      <c r="W35" s="54"/>
    </row>
    <row r="36" spans="1:23" s="3" customFormat="1" x14ac:dyDescent="0.3">
      <c r="A36" s="20"/>
      <c r="B36" s="35" t="str">
        <f>CHOOSE(LanguagePage!$C$187,LanguagePage!$C245,LanguagePage!$D245)</f>
        <v>Операционная прибыль</v>
      </c>
      <c r="C36" s="49">
        <f t="shared" ref="C36:H36" si="24">C12+C14+C33+C34+C32</f>
        <v>125531</v>
      </c>
      <c r="D36" s="49">
        <f t="shared" si="24"/>
        <v>166509</v>
      </c>
      <c r="E36" s="49">
        <f t="shared" si="24"/>
        <v>183513</v>
      </c>
      <c r="F36" s="49">
        <f t="shared" si="24"/>
        <v>283554</v>
      </c>
      <c r="G36" s="49">
        <f t="shared" si="24"/>
        <v>312352</v>
      </c>
      <c r="H36" s="49">
        <f t="shared" si="24"/>
        <v>205001</v>
      </c>
      <c r="I36" s="49">
        <f>I12+I14+I33+I34+I32</f>
        <v>343535</v>
      </c>
      <c r="J36" s="267"/>
      <c r="K36" s="49">
        <f>K12+K14+K33+K34+K32</f>
        <v>245113</v>
      </c>
      <c r="L36" s="49">
        <f>L12+L14+L33+L34+L32</f>
        <v>396781</v>
      </c>
      <c r="M36" s="20"/>
      <c r="N36" s="49">
        <f t="shared" ref="N36:S36" si="25">N12+N14+N33+N34+N32</f>
        <v>105933.33333333336</v>
      </c>
      <c r="O36" s="49">
        <f t="shared" si="25"/>
        <v>104956.18552477138</v>
      </c>
      <c r="P36" s="49">
        <f t="shared" si="25"/>
        <v>92287.151118933878</v>
      </c>
      <c r="Q36" s="49">
        <f t="shared" si="25"/>
        <v>146782.27559788796</v>
      </c>
      <c r="R36" s="49">
        <f t="shared" si="25"/>
        <v>153369.34105862721</v>
      </c>
      <c r="S36" s="49">
        <f t="shared" si="25"/>
        <v>98020.942909056117</v>
      </c>
      <c r="T36" s="49">
        <f>T12+T14+T33+T34+T32</f>
        <v>141087.92968910435</v>
      </c>
      <c r="U36" s="267"/>
      <c r="V36" s="49">
        <f>V12+V14+V33+V34+V32</f>
        <v>117200.43989671991</v>
      </c>
      <c r="W36" s="49">
        <f>W12+W14+W33+W34+W32</f>
        <v>162955.76820403311</v>
      </c>
    </row>
    <row r="37" spans="1:23" s="3" customFormat="1" x14ac:dyDescent="0.3">
      <c r="A37" s="20"/>
      <c r="B37" s="55"/>
      <c r="C37" s="56"/>
      <c r="D37" s="56"/>
      <c r="E37" s="56"/>
      <c r="F37" s="56"/>
      <c r="G37" s="56"/>
      <c r="H37" s="56"/>
      <c r="I37" s="56"/>
      <c r="J37" s="273"/>
      <c r="K37" s="56"/>
      <c r="L37" s="56"/>
      <c r="M37" s="20"/>
      <c r="N37" s="56"/>
      <c r="O37" s="56"/>
      <c r="P37" s="56"/>
      <c r="Q37" s="56"/>
      <c r="R37" s="56"/>
      <c r="S37" s="56"/>
      <c r="T37" s="56"/>
      <c r="U37" s="273"/>
      <c r="V37" s="56"/>
      <c r="W37" s="56"/>
    </row>
    <row r="38" spans="1:23" s="3" customFormat="1" x14ac:dyDescent="0.3">
      <c r="A38" s="20"/>
      <c r="B38" s="11" t="str">
        <f>CHOOSE(LanguagePage!$C$187,LanguagePage!$C249,LanguagePage!$D249)</f>
        <v>Чистые финансовые расходы</v>
      </c>
      <c r="C38" s="57">
        <f t="shared" ref="C38:I38" si="26">C39+C40</f>
        <v>-176972</v>
      </c>
      <c r="D38" s="57">
        <f t="shared" si="26"/>
        <v>-589819</v>
      </c>
      <c r="E38" s="57">
        <f t="shared" si="26"/>
        <v>-232882</v>
      </c>
      <c r="F38" s="57">
        <f t="shared" si="26"/>
        <v>-166592</v>
      </c>
      <c r="G38" s="57">
        <f t="shared" si="26"/>
        <v>-214361</v>
      </c>
      <c r="H38" s="57">
        <f t="shared" si="26"/>
        <v>-131020</v>
      </c>
      <c r="I38" s="57">
        <f t="shared" si="26"/>
        <v>-421389</v>
      </c>
      <c r="J38" s="267"/>
      <c r="K38" s="57">
        <f>K39+K40</f>
        <v>-147837</v>
      </c>
      <c r="L38" s="57">
        <f t="shared" ref="L38" si="27">L39+L40</f>
        <v>-573761</v>
      </c>
      <c r="M38" s="20"/>
      <c r="N38" s="57">
        <f t="shared" ref="N38:S38" si="28">N39+N40</f>
        <v>-149343.45991561181</v>
      </c>
      <c r="O38" s="57">
        <f t="shared" si="28"/>
        <v>-371782.62069939275</v>
      </c>
      <c r="P38" s="57">
        <f t="shared" si="28"/>
        <v>-117114.40784510938</v>
      </c>
      <c r="Q38" s="57">
        <f t="shared" si="28"/>
        <v>-86236.670462780821</v>
      </c>
      <c r="R38" s="57">
        <f t="shared" si="28"/>
        <v>-105254.34547775704</v>
      </c>
      <c r="S38" s="57">
        <f t="shared" si="28"/>
        <v>-62647.030697140668</v>
      </c>
      <c r="T38" s="57">
        <f t="shared" ref="T38" si="29">T39+T40</f>
        <v>-173062.13807548565</v>
      </c>
      <c r="U38" s="267"/>
      <c r="V38" s="57">
        <f>V39+V40</f>
        <v>-70688.055847757481</v>
      </c>
      <c r="W38" s="57">
        <f>W39+W40</f>
        <v>-235640.47804837982</v>
      </c>
    </row>
    <row r="39" spans="1:23" s="3" customFormat="1" x14ac:dyDescent="0.3">
      <c r="A39" s="20"/>
      <c r="B39" s="12" t="str">
        <f>CHOOSE(LanguagePage!$C$187,LanguagePage!$C247,LanguagePage!$D247)</f>
        <v xml:space="preserve">Финансовые расходы </v>
      </c>
      <c r="C39" s="201">
        <v>-178116</v>
      </c>
      <c r="D39" s="201">
        <v>-590140</v>
      </c>
      <c r="E39" s="201">
        <v>-232932</v>
      </c>
      <c r="F39" s="201">
        <v>-167681</v>
      </c>
      <c r="G39" s="201">
        <v>-215244</v>
      </c>
      <c r="H39" s="201">
        <v>-143593</v>
      </c>
      <c r="I39" s="201">
        <f>-577943+152372</f>
        <v>-425571</v>
      </c>
      <c r="J39" s="267"/>
      <c r="K39" s="201">
        <v>-180785</v>
      </c>
      <c r="L39" s="201">
        <f>-577943</f>
        <v>-577943</v>
      </c>
      <c r="M39" s="203"/>
      <c r="N39" s="201">
        <f t="shared" ref="N39:R40" si="30">C39/N$5</f>
        <v>-150308.86075949366</v>
      </c>
      <c r="O39" s="201">
        <f t="shared" si="30"/>
        <v>-371984.95772353827</v>
      </c>
      <c r="P39" s="201">
        <f t="shared" si="30"/>
        <v>-117139.55242645211</v>
      </c>
      <c r="Q39" s="201">
        <f t="shared" si="30"/>
        <v>-86800.393415467435</v>
      </c>
      <c r="R39" s="201">
        <f t="shared" si="30"/>
        <v>-105687.91122459</v>
      </c>
      <c r="S39" s="201">
        <f t="shared" ref="S39:T40" si="31">H39/S$5</f>
        <v>-68658.793152911923</v>
      </c>
      <c r="T39" s="201">
        <f t="shared" si="31"/>
        <v>-174779.66240913386</v>
      </c>
      <c r="U39" s="267"/>
      <c r="V39" s="201">
        <f>K39/V$5</f>
        <v>-86442.096203500041</v>
      </c>
      <c r="W39" s="201">
        <f>L39/W$5</f>
        <v>-237358.00238202803</v>
      </c>
    </row>
    <row r="40" spans="1:23" s="3" customFormat="1" x14ac:dyDescent="0.3">
      <c r="A40" s="20"/>
      <c r="B40" s="25" t="str">
        <f>CHOOSE(LanguagePage!$C$187,LanguagePage!$C248,LanguagePage!$D248)</f>
        <v>Финансовые доходы</v>
      </c>
      <c r="C40" s="202">
        <v>1144</v>
      </c>
      <c r="D40" s="202">
        <v>321</v>
      </c>
      <c r="E40" s="202">
        <v>50</v>
      </c>
      <c r="F40" s="202">
        <v>1089</v>
      </c>
      <c r="G40" s="202">
        <v>883</v>
      </c>
      <c r="H40" s="202">
        <v>12573</v>
      </c>
      <c r="I40" s="202">
        <v>4182</v>
      </c>
      <c r="J40" s="267"/>
      <c r="K40" s="202">
        <v>32948</v>
      </c>
      <c r="L40" s="202">
        <v>4182</v>
      </c>
      <c r="M40" s="203"/>
      <c r="N40" s="202">
        <f t="shared" si="30"/>
        <v>965.40084388185653</v>
      </c>
      <c r="O40" s="202">
        <f t="shared" si="30"/>
        <v>202.33702414555154</v>
      </c>
      <c r="P40" s="202">
        <f t="shared" si="30"/>
        <v>25.144581342720645</v>
      </c>
      <c r="Q40" s="202">
        <f t="shared" si="30"/>
        <v>563.72295268661355</v>
      </c>
      <c r="R40" s="202">
        <f t="shared" si="30"/>
        <v>433.5657468329569</v>
      </c>
      <c r="S40" s="202">
        <f t="shared" si="31"/>
        <v>6011.7624557712534</v>
      </c>
      <c r="T40" s="202">
        <f t="shared" si="31"/>
        <v>1717.5243336481992</v>
      </c>
      <c r="U40" s="267"/>
      <c r="V40" s="202">
        <f>K40/V$5</f>
        <v>15754.040355742563</v>
      </c>
      <c r="W40" s="202">
        <f>L40/W$5</f>
        <v>1717.5243336481992</v>
      </c>
    </row>
    <row r="41" spans="1:23" s="3" customFormat="1" x14ac:dyDescent="0.3">
      <c r="A41" s="20"/>
      <c r="J41" s="225"/>
      <c r="U41" s="225"/>
    </row>
    <row r="42" spans="1:23" s="3" customFormat="1" x14ac:dyDescent="0.3">
      <c r="A42" s="20"/>
      <c r="B42" s="67" t="str">
        <f>CHOOSE(LanguagePage!$C$187,LanguagePage!$C251,LanguagePage!$D251)</f>
        <v>Прибыль от чистой немонетарной позиции</v>
      </c>
      <c r="C42" s="68">
        <v>81938</v>
      </c>
      <c r="D42" s="68">
        <v>0</v>
      </c>
      <c r="E42" s="68">
        <v>0</v>
      </c>
      <c r="F42" s="68">
        <v>0</v>
      </c>
      <c r="G42" s="68">
        <v>0</v>
      </c>
      <c r="H42" s="68">
        <v>0</v>
      </c>
      <c r="I42" s="68">
        <v>0</v>
      </c>
      <c r="J42" s="274"/>
      <c r="K42" s="68">
        <v>0</v>
      </c>
      <c r="L42" s="68">
        <v>0</v>
      </c>
      <c r="N42" s="68">
        <f>C42/N$5</f>
        <v>69145.991561181436</v>
      </c>
      <c r="O42" s="68">
        <f>D42/O$5</f>
        <v>0</v>
      </c>
      <c r="P42" s="68">
        <f>E42/P$5</f>
        <v>0</v>
      </c>
      <c r="Q42" s="68">
        <f>F42/Q$5</f>
        <v>0</v>
      </c>
      <c r="R42" s="68">
        <f>G42/R$5</f>
        <v>0</v>
      </c>
      <c r="S42" s="68">
        <f t="shared" ref="S42:T42" si="32">H42/S$5</f>
        <v>0</v>
      </c>
      <c r="T42" s="68">
        <f t="shared" si="32"/>
        <v>0</v>
      </c>
      <c r="U42" s="274"/>
      <c r="V42" s="68">
        <f>K42/V$5</f>
        <v>0</v>
      </c>
      <c r="W42" s="68">
        <f>L42/W$5</f>
        <v>0</v>
      </c>
    </row>
    <row r="43" spans="1:23" s="3" customFormat="1" x14ac:dyDescent="0.3">
      <c r="A43" s="20"/>
      <c r="B43" s="55"/>
      <c r="C43" s="54"/>
      <c r="D43" s="54"/>
      <c r="E43" s="54"/>
      <c r="F43" s="54"/>
      <c r="G43" s="54"/>
      <c r="H43" s="54"/>
      <c r="I43" s="54"/>
      <c r="J43" s="272"/>
      <c r="K43" s="54"/>
      <c r="L43" s="54"/>
      <c r="N43" s="54"/>
      <c r="O43" s="54"/>
      <c r="P43" s="54"/>
      <c r="Q43" s="54"/>
      <c r="R43" s="54"/>
      <c r="S43" s="54"/>
      <c r="T43" s="54"/>
      <c r="U43" s="272"/>
      <c r="V43" s="54"/>
      <c r="W43" s="54"/>
    </row>
    <row r="44" spans="1:23" s="3" customFormat="1" x14ac:dyDescent="0.3">
      <c r="A44" s="20"/>
      <c r="B44" s="60" t="str">
        <f>CHOOSE(LanguagePage!$C$187,LanguagePage!$C253,LanguagePage!$D253)</f>
        <v>Прибыль (убыток) до налогообложения</v>
      </c>
      <c r="C44" s="61">
        <f t="shared" ref="C44:I44" si="33">C36+C38+C42</f>
        <v>30497</v>
      </c>
      <c r="D44" s="61">
        <f t="shared" si="33"/>
        <v>-423310</v>
      </c>
      <c r="E44" s="61">
        <f t="shared" si="33"/>
        <v>-49369</v>
      </c>
      <c r="F44" s="61">
        <f t="shared" si="33"/>
        <v>116962</v>
      </c>
      <c r="G44" s="61">
        <f t="shared" si="33"/>
        <v>97991</v>
      </c>
      <c r="H44" s="61">
        <f t="shared" si="33"/>
        <v>73981</v>
      </c>
      <c r="I44" s="61">
        <f t="shared" si="33"/>
        <v>-77854</v>
      </c>
      <c r="J44" s="274"/>
      <c r="K44" s="61">
        <f>K36+K38+K42</f>
        <v>97276</v>
      </c>
      <c r="L44" s="61">
        <f>L36+L38+L42</f>
        <v>-176980</v>
      </c>
      <c r="N44" s="61">
        <f t="shared" ref="N44:S44" si="34">N36+N38+N42</f>
        <v>25735.864978902988</v>
      </c>
      <c r="O44" s="61">
        <f t="shared" si="34"/>
        <v>-266826.43517462135</v>
      </c>
      <c r="P44" s="61">
        <f t="shared" si="34"/>
        <v>-24827.256726175503</v>
      </c>
      <c r="Q44" s="61">
        <f t="shared" si="34"/>
        <v>60545.605135107136</v>
      </c>
      <c r="R44" s="61">
        <f t="shared" si="34"/>
        <v>48114.995580870163</v>
      </c>
      <c r="S44" s="61">
        <f t="shared" si="34"/>
        <v>35373.912211915449</v>
      </c>
      <c r="T44" s="61">
        <f>T36+T38+T42</f>
        <v>-31974.208386381302</v>
      </c>
      <c r="U44" s="274"/>
      <c r="V44" s="61">
        <f>V36+V38+V42</f>
        <v>46512.384048962427</v>
      </c>
      <c r="W44" s="61">
        <f>W36+W38+W42</f>
        <v>-72684.709844346711</v>
      </c>
    </row>
    <row r="45" spans="1:23" s="3" customFormat="1" x14ac:dyDescent="0.3">
      <c r="A45" s="20"/>
      <c r="B45" s="25" t="str">
        <f>CHOOSE(LanguagePage!$C$187,LanguagePage!$C254,LanguagePage!$D254)</f>
        <v>Выгода (расход) по налогу на прибыль</v>
      </c>
      <c r="C45" s="202">
        <v>-12107</v>
      </c>
      <c r="D45" s="202">
        <v>98607</v>
      </c>
      <c r="E45" s="202">
        <v>6594</v>
      </c>
      <c r="F45" s="202">
        <v>-14445</v>
      </c>
      <c r="G45" s="202">
        <v>-32156</v>
      </c>
      <c r="H45" s="202">
        <v>-50322.9</v>
      </c>
      <c r="I45" s="202">
        <f>15105-17843</f>
        <v>-2738</v>
      </c>
      <c r="J45" s="271"/>
      <c r="K45" s="202">
        <v>-54516</v>
      </c>
      <c r="L45" s="202">
        <f>15105</f>
        <v>15105</v>
      </c>
      <c r="M45" s="205"/>
      <c r="N45" s="202">
        <f>C45/N$5</f>
        <v>-10216.877637130801</v>
      </c>
      <c r="O45" s="202">
        <f>D45/O$5</f>
        <v>62155.286417197509</v>
      </c>
      <c r="P45" s="202">
        <f>E45/P$5</f>
        <v>3316.0673874779986</v>
      </c>
      <c r="Q45" s="202">
        <f>F45/Q$5</f>
        <v>-7477.482141008386</v>
      </c>
      <c r="R45" s="202">
        <f>G45/R$5</f>
        <v>-15789.060198369833</v>
      </c>
      <c r="S45" s="202">
        <f t="shared" ref="S45:T45" si="35">H45/S$5</f>
        <v>-24061.824615090369</v>
      </c>
      <c r="T45" s="202">
        <f t="shared" si="35"/>
        <v>-1124.481498213479</v>
      </c>
      <c r="U45" s="271"/>
      <c r="V45" s="202">
        <f>K45/V$5</f>
        <v>-26066.749545758819</v>
      </c>
      <c r="W45" s="202">
        <f>L45/W$5</f>
        <v>6203.540186455296</v>
      </c>
    </row>
    <row r="46" spans="1:23" s="3" customFormat="1" x14ac:dyDescent="0.3">
      <c r="A46" s="20"/>
      <c r="B46" s="12"/>
      <c r="C46" s="54"/>
      <c r="D46" s="54"/>
      <c r="E46" s="54"/>
      <c r="F46" s="54"/>
      <c r="G46" s="54"/>
      <c r="H46" s="54"/>
      <c r="I46" s="54"/>
      <c r="J46" s="272"/>
      <c r="K46" s="54"/>
      <c r="L46" s="54"/>
      <c r="N46" s="54"/>
      <c r="O46" s="54"/>
      <c r="P46" s="54"/>
      <c r="Q46" s="54"/>
      <c r="R46" s="54"/>
      <c r="S46" s="54"/>
      <c r="T46" s="54"/>
      <c r="U46" s="272"/>
      <c r="V46" s="54"/>
      <c r="W46" s="54"/>
    </row>
    <row r="47" spans="1:23" s="3" customFormat="1" x14ac:dyDescent="0.3">
      <c r="A47" s="38"/>
      <c r="B47" s="60" t="str">
        <f>CHOOSE(LanguagePage!$C$187,LanguagePage!$C255,LanguagePage!$D255)</f>
        <v>Прибыль (убыток) от продолжающейся деятельности</v>
      </c>
      <c r="C47" s="61">
        <f t="shared" ref="C47:Q47" si="36">C44+C45</f>
        <v>18390</v>
      </c>
      <c r="D47" s="61">
        <f t="shared" si="36"/>
        <v>-324703</v>
      </c>
      <c r="E47" s="61">
        <f t="shared" si="36"/>
        <v>-42775</v>
      </c>
      <c r="F47" s="61">
        <f t="shared" si="36"/>
        <v>102517</v>
      </c>
      <c r="G47" s="61">
        <f t="shared" si="36"/>
        <v>65835</v>
      </c>
      <c r="H47" s="61">
        <f t="shared" si="36"/>
        <v>23658.1</v>
      </c>
      <c r="I47" s="61">
        <f t="shared" si="36"/>
        <v>-80592</v>
      </c>
      <c r="J47" s="274"/>
      <c r="K47" s="61">
        <f t="shared" si="36"/>
        <v>42760</v>
      </c>
      <c r="L47" s="61">
        <f t="shared" si="36"/>
        <v>-161875</v>
      </c>
      <c r="N47" s="61">
        <f t="shared" si="36"/>
        <v>15518.987341772186</v>
      </c>
      <c r="O47" s="61">
        <f t="shared" si="36"/>
        <v>-204671.14875742386</v>
      </c>
      <c r="P47" s="61">
        <f t="shared" si="36"/>
        <v>-21511.189338697506</v>
      </c>
      <c r="Q47" s="61">
        <f t="shared" si="36"/>
        <v>53068.122994098754</v>
      </c>
      <c r="R47" s="61">
        <f t="shared" ref="R47:V47" si="37">R44+R45</f>
        <v>32325.935382500331</v>
      </c>
      <c r="S47" s="61">
        <f t="shared" si="37"/>
        <v>11312.08759682508</v>
      </c>
      <c r="T47" s="61">
        <f t="shared" ref="T47" si="38">T44+T45</f>
        <v>-33098.68988459478</v>
      </c>
      <c r="U47" s="274"/>
      <c r="V47" s="61">
        <f t="shared" si="37"/>
        <v>20445.634503203608</v>
      </c>
      <c r="W47" s="61">
        <f t="shared" ref="W47" si="39">W44+W45</f>
        <v>-66481.169657891412</v>
      </c>
    </row>
    <row r="48" spans="1:23" s="3" customFormat="1" x14ac:dyDescent="0.3">
      <c r="A48" s="38"/>
      <c r="B48" s="25" t="str">
        <f>CHOOSE(LanguagePage!$C$187,LanguagePage!$C256,LanguagePage!$D256)</f>
        <v>Убыток от прекращенной деятельности с учетом налога</v>
      </c>
      <c r="C48" s="202">
        <v>-5619</v>
      </c>
      <c r="D48" s="202">
        <v>-10231</v>
      </c>
      <c r="E48" s="202">
        <v>0</v>
      </c>
      <c r="F48" s="202">
        <v>0</v>
      </c>
      <c r="G48" s="202">
        <v>0</v>
      </c>
      <c r="H48" s="202">
        <v>0</v>
      </c>
      <c r="I48" s="202">
        <v>0</v>
      </c>
      <c r="J48" s="271"/>
      <c r="K48" s="202">
        <v>0</v>
      </c>
      <c r="L48" s="202">
        <v>0</v>
      </c>
      <c r="M48" s="205"/>
      <c r="N48" s="202">
        <f>C48/N$5</f>
        <v>-4741.7721518987337</v>
      </c>
      <c r="O48" s="202">
        <f>D48/O$5</f>
        <v>-6448.9411029069715</v>
      </c>
      <c r="P48" s="202">
        <f>E48/P$5</f>
        <v>0</v>
      </c>
      <c r="Q48" s="202">
        <f>F48/Q$5</f>
        <v>0</v>
      </c>
      <c r="R48" s="202">
        <f>G48/R$5</f>
        <v>0</v>
      </c>
      <c r="S48" s="202">
        <f t="shared" ref="S48:T48" si="40">H48/S$5</f>
        <v>0</v>
      </c>
      <c r="T48" s="202">
        <f t="shared" si="40"/>
        <v>0</v>
      </c>
      <c r="U48" s="271"/>
      <c r="V48" s="202">
        <f>K48/V$5</f>
        <v>0</v>
      </c>
      <c r="W48" s="202">
        <f>L48/W$5</f>
        <v>0</v>
      </c>
    </row>
    <row r="49" spans="1:23" s="3" customFormat="1" x14ac:dyDescent="0.3">
      <c r="A49" s="38"/>
      <c r="B49" s="66"/>
      <c r="C49" s="54"/>
      <c r="D49" s="54"/>
      <c r="E49" s="54"/>
      <c r="F49" s="54"/>
      <c r="G49" s="54"/>
      <c r="H49" s="54"/>
      <c r="I49" s="54"/>
      <c r="J49" s="272"/>
      <c r="K49" s="54"/>
      <c r="L49" s="54"/>
      <c r="N49" s="54"/>
      <c r="O49" s="54"/>
      <c r="P49" s="54"/>
      <c r="Q49" s="54"/>
      <c r="R49" s="54"/>
      <c r="S49" s="54"/>
      <c r="T49" s="54"/>
      <c r="U49" s="272"/>
      <c r="V49" s="54"/>
      <c r="W49" s="54"/>
    </row>
    <row r="50" spans="1:23" ht="14.4" thickBot="1" x14ac:dyDescent="0.35">
      <c r="B50" s="58" t="str">
        <f>CHOOSE(LanguagePage!$C$187,LanguagePage!$C257,LanguagePage!$D257)</f>
        <v>Прибыль (убыток) за период</v>
      </c>
      <c r="C50" s="59">
        <f t="shared" ref="C50:V50" si="41">C47+C48</f>
        <v>12771</v>
      </c>
      <c r="D50" s="59">
        <f t="shared" si="41"/>
        <v>-334934</v>
      </c>
      <c r="E50" s="59">
        <f t="shared" si="41"/>
        <v>-42775</v>
      </c>
      <c r="F50" s="59">
        <f t="shared" si="41"/>
        <v>102517</v>
      </c>
      <c r="G50" s="59">
        <f t="shared" si="41"/>
        <v>65835</v>
      </c>
      <c r="H50" s="59">
        <f t="shared" si="41"/>
        <v>23658.1</v>
      </c>
      <c r="I50" s="59">
        <f t="shared" ref="I50" si="42">I47+I48</f>
        <v>-80592</v>
      </c>
      <c r="J50" s="274"/>
      <c r="K50" s="59">
        <f t="shared" si="41"/>
        <v>42760</v>
      </c>
      <c r="L50" s="59">
        <f t="shared" ref="L50" si="43">L47+L48</f>
        <v>-161875</v>
      </c>
      <c r="N50" s="59">
        <f t="shared" si="41"/>
        <v>10777.215189873452</v>
      </c>
      <c r="O50" s="59">
        <f t="shared" si="41"/>
        <v>-211120.08986033083</v>
      </c>
      <c r="P50" s="59">
        <f t="shared" si="41"/>
        <v>-21511.189338697506</v>
      </c>
      <c r="Q50" s="59">
        <f t="shared" si="41"/>
        <v>53068.122994098754</v>
      </c>
      <c r="R50" s="59">
        <f t="shared" si="41"/>
        <v>32325.935382500331</v>
      </c>
      <c r="S50" s="59">
        <f t="shared" si="41"/>
        <v>11312.08759682508</v>
      </c>
      <c r="T50" s="59">
        <f>T47+T48</f>
        <v>-33098.68988459478</v>
      </c>
      <c r="U50" s="274"/>
      <c r="V50" s="59">
        <f t="shared" si="41"/>
        <v>20445.634503203608</v>
      </c>
      <c r="W50" s="59">
        <f>W47+W48</f>
        <v>-66481.169657891412</v>
      </c>
    </row>
    <row r="51" spans="1:23" ht="14.4" thickTop="1" x14ac:dyDescent="0.3">
      <c r="B51" s="6"/>
      <c r="C51" s="39"/>
      <c r="D51" s="39"/>
      <c r="E51" s="39"/>
      <c r="F51" s="39"/>
      <c r="G51" s="39"/>
      <c r="H51" s="39"/>
      <c r="I51" s="39"/>
      <c r="K51" s="39"/>
      <c r="L51" s="39"/>
    </row>
    <row r="52" spans="1:23" x14ac:dyDescent="0.3">
      <c r="B52" s="277" t="str">
        <f>CHOOSE(LanguagePage!$C$187,LanguagePage!$C259,LanguagePage!$D259)</f>
        <v>[1] Некоторые статьи финансовой отчетности Компании были реклассифицированы.</v>
      </c>
      <c r="C52" s="39"/>
      <c r="D52" s="39"/>
      <c r="E52" s="39"/>
      <c r="F52" s="39"/>
      <c r="G52" s="39"/>
      <c r="H52" s="39"/>
      <c r="I52" s="39"/>
      <c r="K52" s="39"/>
      <c r="L52" s="39"/>
    </row>
    <row r="53" spans="1:23" x14ac:dyDescent="0.3">
      <c r="B53" s="277" t="str">
        <f>CHOOSE(LanguagePage!$C$187,LanguagePage!$C260,LanguagePage!$D260)</f>
        <v>[2] Для конвертации показателей из BYN в USD в 2014 году был использован обменный курс на 31 декабря 2014 года (не средний за период), т.к. 2014 год был гиперинфляционным.</v>
      </c>
    </row>
    <row r="54" spans="1:23" x14ac:dyDescent="0.3">
      <c r="B54" s="278"/>
    </row>
  </sheetData>
  <mergeCells count="5">
    <mergeCell ref="B2:E2"/>
    <mergeCell ref="N4:W4"/>
    <mergeCell ref="C4:L4"/>
    <mergeCell ref="C5:I5"/>
    <mergeCell ref="K5:L5"/>
  </mergeCells>
  <hyperlinks>
    <hyperlink ref="B4" location="Contents!A1" display="Contents!A1" xr:uid="{00000000-0004-0000-0100-000000000000}"/>
    <hyperlink ref="W2" location="Contents!A1" display="Contents!A1" xr:uid="{00000000-0004-0000-0100-000001000000}"/>
  </hyperlinks>
  <pageMargins left="0.7" right="0.7" top="0.75" bottom="0.75" header="0.3" footer="0.3"/>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E498"/>
  </sheetPr>
  <dimension ref="A1:W50"/>
  <sheetViews>
    <sheetView showGridLines="0" zoomScale="80" zoomScaleNormal="80" workbookViewId="0">
      <pane ySplit="6" topLeftCell="A7" activePane="bottomLeft" state="frozen"/>
      <selection activeCell="B2" sqref="B2:E2"/>
      <selection pane="bottomLeft"/>
    </sheetView>
  </sheetViews>
  <sheetFormatPr defaultColWidth="9.109375" defaultRowHeight="13.8" x14ac:dyDescent="0.3"/>
  <cols>
    <col min="1" max="1" width="6" style="36" customWidth="1"/>
    <col min="2" max="2" width="69.109375" style="2" customWidth="1"/>
    <col min="3" max="7" width="11.109375" style="7" customWidth="1"/>
    <col min="8" max="8" width="3.77734375" style="7" customWidth="1"/>
    <col min="9" max="10" width="11" style="7" customWidth="1"/>
    <col min="11" max="11" width="9.109375" style="15"/>
    <col min="12" max="16" width="11" style="1" customWidth="1"/>
    <col min="17" max="17" width="3.77734375" style="1" customWidth="1"/>
    <col min="18" max="19" width="11" style="1" customWidth="1"/>
    <col min="20" max="20" width="12.33203125" style="1" customWidth="1"/>
    <col min="21" max="21" width="11.77734375" style="1" customWidth="1"/>
    <col min="22" max="16384" width="9.109375" style="1"/>
  </cols>
  <sheetData>
    <row r="1" spans="1:20" ht="14.1" customHeight="1" x14ac:dyDescent="0.3">
      <c r="B1" s="123"/>
      <c r="C1" s="123"/>
      <c r="D1" s="123"/>
      <c r="E1" s="123"/>
      <c r="F1" s="123"/>
      <c r="G1" s="123"/>
      <c r="H1" s="123"/>
      <c r="I1" s="123"/>
      <c r="J1" s="123"/>
      <c r="L1" s="27"/>
    </row>
    <row r="2" spans="1:20" ht="14.1" customHeight="1" x14ac:dyDescent="0.3">
      <c r="B2" s="465" t="str">
        <f>IF(LanguagePage!$C$194=1,LanguagePage!$C$184,LanguagePage!$C$185)</f>
        <v>ОТЧЕТ О ПРИБЫЛЯХ И УБЫТКАХ</v>
      </c>
      <c r="C2" s="465"/>
      <c r="D2" s="465"/>
      <c r="E2" s="465"/>
      <c r="F2" s="465"/>
      <c r="G2" s="465"/>
      <c r="H2" s="465"/>
      <c r="I2" s="465"/>
      <c r="J2" s="292"/>
      <c r="L2" s="27"/>
      <c r="S2" s="211" t="str">
        <f>Contents!$B$2</f>
        <v>СОДЕРЖАНИЕ</v>
      </c>
    </row>
    <row r="3" spans="1:20" ht="14.1" customHeight="1" x14ac:dyDescent="0.3">
      <c r="C3" s="1"/>
      <c r="D3" s="1"/>
      <c r="E3" s="1"/>
      <c r="F3" s="1"/>
      <c r="G3" s="1"/>
      <c r="H3" s="123"/>
      <c r="I3" s="1"/>
      <c r="J3" s="1"/>
    </row>
    <row r="4" spans="1:20" ht="14.1" customHeight="1" x14ac:dyDescent="0.3">
      <c r="B4" s="210" t="str">
        <f>Contents!$B$4</f>
        <v>Выбор языка: РУССКИЙ</v>
      </c>
      <c r="C4" s="474" t="str">
        <f>CHOOSE(LanguagePage!$C$194,LanguagePage!$D$195,LanguagePage!$D$196)</f>
        <v>тыс. BYN</v>
      </c>
      <c r="D4" s="475"/>
      <c r="E4" s="475"/>
      <c r="F4" s="475"/>
      <c r="G4" s="475"/>
      <c r="H4" s="475"/>
      <c r="I4" s="475"/>
      <c r="J4" s="476"/>
      <c r="L4" s="474" t="str">
        <f>CHOOSE(LanguagePage!$C$194,LanguagePage!E195,LanguagePage!E196)</f>
        <v>тыс. USD</v>
      </c>
      <c r="M4" s="475"/>
      <c r="N4" s="475"/>
      <c r="O4" s="475"/>
      <c r="P4" s="475"/>
      <c r="Q4" s="475"/>
      <c r="R4" s="475"/>
      <c r="S4" s="476"/>
    </row>
    <row r="5" spans="1:20" ht="14.1" customHeight="1" x14ac:dyDescent="0.3">
      <c r="C5" s="479" t="s">
        <v>721</v>
      </c>
      <c r="D5" s="479"/>
      <c r="E5" s="479"/>
      <c r="F5" s="479"/>
      <c r="G5" s="479"/>
      <c r="H5" s="123"/>
      <c r="I5" s="479" t="s">
        <v>722</v>
      </c>
      <c r="J5" s="479"/>
      <c r="L5" s="26">
        <v>2.0246</v>
      </c>
      <c r="M5" s="26">
        <v>1.8968</v>
      </c>
      <c r="N5" s="26">
        <v>1.9886999999999999</v>
      </c>
      <c r="O5" s="26">
        <v>2.1187</v>
      </c>
      <c r="P5" s="26">
        <v>2.3342999999999998</v>
      </c>
      <c r="R5" s="26">
        <v>2.1187</v>
      </c>
      <c r="S5" s="26">
        <v>2.3342999999999998</v>
      </c>
    </row>
    <row r="6" spans="1:20" ht="14.1" customHeight="1" x14ac:dyDescent="0.3">
      <c r="B6" s="8"/>
      <c r="C6" s="14" t="str">
        <f>CHOOSE(LanguagePage!$C$194,LanguagePage!D$198,LanguagePage!D$199)</f>
        <v>1П 2016</v>
      </c>
      <c r="D6" s="14" t="str">
        <f>CHOOSE(LanguagePage!$C$194,LanguagePage!E$198,LanguagePage!E$199)</f>
        <v>1П 2017</v>
      </c>
      <c r="E6" s="14" t="str">
        <f>CHOOSE(LanguagePage!$C$194,LanguagePage!F$198,LanguagePage!F$199)</f>
        <v>1П 2018</v>
      </c>
      <c r="F6" s="14" t="str">
        <f>CHOOSE(LanguagePage!$C$194,LanguagePage!G$198,LanguagePage!G$199)</f>
        <v>1П 2019</v>
      </c>
      <c r="G6" s="14" t="str">
        <f>CHOOSE(LanguagePage!$C$194,LanguagePage!H$198,LanguagePage!H$199)</f>
        <v>1П 2020</v>
      </c>
      <c r="H6" s="123"/>
      <c r="I6" s="254" t="str">
        <f>CHOOSE(LanguagePage!$C$194,LanguagePage!G$198,LanguagePage!G$199)</f>
        <v>1П 2019</v>
      </c>
      <c r="J6" s="254" t="str">
        <f>CHOOSE(LanguagePage!$C$194,LanguagePage!H$198,LanguagePage!H$199)</f>
        <v>1П 2020</v>
      </c>
      <c r="L6" s="14" t="str">
        <f>$C$6</f>
        <v>1П 2016</v>
      </c>
      <c r="M6" s="14" t="str">
        <f>$D$6</f>
        <v>1П 2017</v>
      </c>
      <c r="N6" s="14" t="str">
        <f>$E$6</f>
        <v>1П 2018</v>
      </c>
      <c r="O6" s="14" t="str">
        <f>$F$6</f>
        <v>1П 2019</v>
      </c>
      <c r="P6" s="14" t="str">
        <f>$G$6</f>
        <v>1П 2020</v>
      </c>
      <c r="R6" s="254" t="str">
        <f>$I$6</f>
        <v>1П 2019</v>
      </c>
      <c r="S6" s="254" t="str">
        <f>$J$6</f>
        <v>1П 2020</v>
      </c>
    </row>
    <row r="7" spans="1:20" s="36" customFormat="1" ht="15.6" x14ac:dyDescent="0.3">
      <c r="B7" s="62"/>
      <c r="C7" s="63"/>
      <c r="D7" s="63"/>
      <c r="E7" s="63"/>
      <c r="F7" s="63"/>
      <c r="G7" s="63"/>
      <c r="H7" s="123"/>
      <c r="I7" s="63"/>
      <c r="J7" s="63"/>
      <c r="K7" s="17"/>
      <c r="L7" s="63"/>
      <c r="M7" s="63"/>
      <c r="N7" s="63"/>
    </row>
    <row r="8" spans="1:20" ht="15.6" x14ac:dyDescent="0.3">
      <c r="A8" s="37"/>
      <c r="B8" s="346" t="str">
        <f>CHOOSE(LanguagePage!$C$194,LanguagePage!$C202,LanguagePage!$D202)</f>
        <v>Выручка, процентные и комиссионные доходы</v>
      </c>
      <c r="C8" s="323">
        <v>1758910</v>
      </c>
      <c r="D8" s="323">
        <v>1897646</v>
      </c>
      <c r="E8" s="323">
        <v>2179736</v>
      </c>
      <c r="F8" s="324">
        <v>2403404</v>
      </c>
      <c r="G8" s="323">
        <v>2583541</v>
      </c>
      <c r="H8" s="123"/>
      <c r="I8" s="324">
        <v>2403404</v>
      </c>
      <c r="J8" s="323">
        <v>2583541</v>
      </c>
      <c r="K8" s="325"/>
      <c r="L8" s="323">
        <f>C8/L$5</f>
        <v>868769.13958312757</v>
      </c>
      <c r="M8" s="323">
        <f>D8/M$5</f>
        <v>1000446.014339941</v>
      </c>
      <c r="N8" s="323">
        <f>E8/N$5</f>
        <v>1096060.7431990749</v>
      </c>
      <c r="O8" s="323">
        <f>F8/O$5</f>
        <v>1134376.7404540521</v>
      </c>
      <c r="P8" s="323">
        <f>G8/P$5</f>
        <v>1106773.3367604851</v>
      </c>
      <c r="Q8" s="304"/>
      <c r="R8" s="323">
        <f>I8/R$5</f>
        <v>1134376.7404540521</v>
      </c>
      <c r="S8" s="323">
        <f>J8/S$5</f>
        <v>1106773.3367604851</v>
      </c>
      <c r="T8" s="229"/>
    </row>
    <row r="9" spans="1:20" ht="12.6" customHeight="1" x14ac:dyDescent="0.3">
      <c r="A9" s="37"/>
      <c r="B9" s="347"/>
      <c r="C9" s="325"/>
      <c r="D9" s="325"/>
      <c r="E9" s="325"/>
      <c r="F9" s="326"/>
      <c r="G9" s="325"/>
      <c r="H9" s="123"/>
      <c r="I9" s="326"/>
      <c r="J9" s="325"/>
      <c r="K9" s="325"/>
      <c r="L9" s="325"/>
      <c r="M9" s="325"/>
      <c r="N9" s="325"/>
      <c r="O9" s="325"/>
      <c r="P9" s="325"/>
      <c r="Q9" s="304"/>
      <c r="R9" s="325"/>
      <c r="S9" s="325"/>
    </row>
    <row r="10" spans="1:20" s="304" customFormat="1" ht="15.6" x14ac:dyDescent="0.3">
      <c r="A10" s="298"/>
      <c r="B10" s="314" t="str">
        <f>CHOOSE(LanguagePage!$C$194,LanguagePage!$C203,LanguagePage!$D203)</f>
        <v>Себестоимость реализованных товаров и услуг</v>
      </c>
      <c r="C10" s="306">
        <v>-1365600</v>
      </c>
      <c r="D10" s="306">
        <v>-1392893</v>
      </c>
      <c r="E10" s="306">
        <v>-1617963</v>
      </c>
      <c r="F10" s="307">
        <v>-1796895</v>
      </c>
      <c r="G10" s="306">
        <v>-1937410</v>
      </c>
      <c r="H10" s="123"/>
      <c r="I10" s="307">
        <v>-1796895</v>
      </c>
      <c r="J10" s="306">
        <v>-1937410</v>
      </c>
      <c r="K10" s="308"/>
      <c r="L10" s="306">
        <f>C10/L$5</f>
        <v>-674503.60565049888</v>
      </c>
      <c r="M10" s="306">
        <f>D10/M$5</f>
        <v>-734338.35934204981</v>
      </c>
      <c r="N10" s="306">
        <f>E10/N$5</f>
        <v>-813578.21692562988</v>
      </c>
      <c r="O10" s="306">
        <f>F10/O$5</f>
        <v>-848112.04984188417</v>
      </c>
      <c r="P10" s="306">
        <f>G10/P$5</f>
        <v>-829974.72475688648</v>
      </c>
      <c r="R10" s="306">
        <f>I10/R$5</f>
        <v>-848112.04984188417</v>
      </c>
      <c r="S10" s="306">
        <f t="shared" ref="S10:S44" si="0">J10/S$5</f>
        <v>-829974.72475688648</v>
      </c>
      <c r="T10" s="309"/>
    </row>
    <row r="11" spans="1:20" ht="15.6" x14ac:dyDescent="0.3">
      <c r="A11" s="37"/>
      <c r="B11" s="348"/>
      <c r="C11" s="327"/>
      <c r="D11" s="327"/>
      <c r="E11" s="327"/>
      <c r="F11" s="328"/>
      <c r="G11" s="327"/>
      <c r="H11" s="123"/>
      <c r="I11" s="327"/>
      <c r="J11" s="327"/>
      <c r="K11" s="327"/>
      <c r="L11" s="327"/>
      <c r="M11" s="327"/>
      <c r="N11" s="327"/>
      <c r="O11" s="327"/>
      <c r="P11" s="327"/>
      <c r="Q11" s="304"/>
      <c r="R11" s="327"/>
      <c r="S11" s="327"/>
    </row>
    <row r="12" spans="1:20" s="304" customFormat="1" ht="15.6" x14ac:dyDescent="0.3">
      <c r="A12" s="298"/>
      <c r="B12" s="299" t="str">
        <f>CHOOSE(LanguagePage!$C$194,LanguagePage!$C204,LanguagePage!$D204)</f>
        <v>Валовая прибыль</v>
      </c>
      <c r="C12" s="300">
        <f>C8+C10</f>
        <v>393310</v>
      </c>
      <c r="D12" s="300">
        <f>D8+D10</f>
        <v>504753</v>
      </c>
      <c r="E12" s="300">
        <f>E8+E10</f>
        <v>561773</v>
      </c>
      <c r="F12" s="301">
        <f>F8+F10</f>
        <v>606509</v>
      </c>
      <c r="G12" s="300">
        <f>G8+G10</f>
        <v>646131</v>
      </c>
      <c r="H12" s="123"/>
      <c r="I12" s="302">
        <f>I8+I10</f>
        <v>606509</v>
      </c>
      <c r="J12" s="302">
        <f t="shared" ref="J12" si="1">J8+J10</f>
        <v>646131</v>
      </c>
      <c r="K12" s="303"/>
      <c r="L12" s="300">
        <f>L8+L10</f>
        <v>194265.53393262869</v>
      </c>
      <c r="M12" s="300">
        <f>M8+M10</f>
        <v>266107.65499789116</v>
      </c>
      <c r="N12" s="300">
        <f>N8+N10</f>
        <v>282482.52627344499</v>
      </c>
      <c r="O12" s="300">
        <f>O8+O10</f>
        <v>286264.69061216793</v>
      </c>
      <c r="P12" s="300">
        <f>P8+P10</f>
        <v>276798.6120035986</v>
      </c>
      <c r="R12" s="300">
        <f>R8+R10</f>
        <v>286264.69061216793</v>
      </c>
      <c r="S12" s="300">
        <f>S8+S10</f>
        <v>276798.6120035986</v>
      </c>
    </row>
    <row r="13" spans="1:20" ht="15.6" x14ac:dyDescent="0.3">
      <c r="A13" s="37"/>
      <c r="B13" s="349"/>
      <c r="C13" s="329"/>
      <c r="D13" s="329"/>
      <c r="E13" s="329"/>
      <c r="F13" s="329"/>
      <c r="G13" s="329"/>
      <c r="H13" s="123"/>
      <c r="I13" s="329"/>
      <c r="J13" s="329"/>
      <c r="K13" s="329"/>
      <c r="L13" s="329"/>
      <c r="M13" s="329"/>
      <c r="N13" s="329"/>
      <c r="O13" s="329"/>
      <c r="P13" s="329"/>
      <c r="Q13" s="304"/>
      <c r="R13" s="329"/>
      <c r="S13" s="329"/>
    </row>
    <row r="14" spans="1:20" ht="15.6" x14ac:dyDescent="0.3">
      <c r="A14" s="37"/>
      <c r="B14" s="348" t="str">
        <f>CHOOSE(LanguagePage!$C$194,LanguagePage!$C207,LanguagePage!$D207)</f>
        <v>Административные и расходы на реализацию</v>
      </c>
      <c r="C14" s="330">
        <f>C16+C17+C18+C19+C20+C22+C23+C24+C25+C26+C27+C28+C29+C21</f>
        <v>-312916</v>
      </c>
      <c r="D14" s="330">
        <f t="shared" ref="D14:S14" si="2">D16+D17+D18+D19+D20+D22+D23+D24+D25+D26+D27+D28+D29+D21</f>
        <v>-355037</v>
      </c>
      <c r="E14" s="330">
        <f t="shared" si="2"/>
        <v>-407228</v>
      </c>
      <c r="F14" s="330">
        <f t="shared" si="2"/>
        <v>-493279</v>
      </c>
      <c r="G14" s="330">
        <f t="shared" si="2"/>
        <v>-489224</v>
      </c>
      <c r="H14" s="123"/>
      <c r="I14" s="330">
        <f t="shared" si="2"/>
        <v>-470813</v>
      </c>
      <c r="J14" s="330">
        <f t="shared" si="2"/>
        <v>-465287</v>
      </c>
      <c r="K14" s="311"/>
      <c r="L14" s="330">
        <f t="shared" si="2"/>
        <v>-154556.94952089302</v>
      </c>
      <c r="M14" s="330">
        <f t="shared" si="2"/>
        <v>-187176.82412484189</v>
      </c>
      <c r="N14" s="330">
        <f t="shared" si="2"/>
        <v>-204770.95590083973</v>
      </c>
      <c r="O14" s="330">
        <f t="shared" si="2"/>
        <v>-232821.54151130409</v>
      </c>
      <c r="P14" s="330">
        <f t="shared" si="2"/>
        <v>-209580.60232189525</v>
      </c>
      <c r="Q14" s="304"/>
      <c r="R14" s="330">
        <f t="shared" si="2"/>
        <v>-222217.86944824658</v>
      </c>
      <c r="S14" s="330">
        <f t="shared" si="2"/>
        <v>-199326.13631495525</v>
      </c>
    </row>
    <row r="15" spans="1:20" x14ac:dyDescent="0.3">
      <c r="A15" s="37"/>
      <c r="B15" s="10"/>
      <c r="C15" s="331"/>
      <c r="D15" s="331"/>
      <c r="E15" s="331"/>
      <c r="F15" s="331"/>
      <c r="G15" s="331"/>
      <c r="H15" s="331"/>
      <c r="I15" s="331"/>
      <c r="J15" s="331"/>
      <c r="K15" s="331"/>
      <c r="L15" s="331"/>
      <c r="M15" s="331"/>
      <c r="N15" s="331"/>
      <c r="O15" s="331"/>
      <c r="P15" s="331"/>
      <c r="Q15" s="304"/>
      <c r="R15" s="331"/>
      <c r="S15" s="331"/>
    </row>
    <row r="16" spans="1:20" ht="15.6" x14ac:dyDescent="0.3">
      <c r="A16" s="37"/>
      <c r="B16" s="279" t="str">
        <f>CHOOSE(LanguagePage!$C$194,LanguagePage!$C210,LanguagePage!$D210)</f>
        <v>Вознаграждения работникам</v>
      </c>
      <c r="C16" s="311">
        <v>-117633</v>
      </c>
      <c r="D16" s="311">
        <v>-125341</v>
      </c>
      <c r="E16" s="311">
        <v>-144347</v>
      </c>
      <c r="F16" s="311">
        <v>-183517</v>
      </c>
      <c r="G16" s="311">
        <v>-189297</v>
      </c>
      <c r="H16" s="123"/>
      <c r="I16" s="320">
        <v>-183517</v>
      </c>
      <c r="J16" s="320">
        <v>-189297</v>
      </c>
      <c r="K16" s="311"/>
      <c r="L16" s="311">
        <f t="shared" ref="L16:P22" si="3">C16/L$5</f>
        <v>-58101.847278474765</v>
      </c>
      <c r="M16" s="311">
        <f t="shared" si="3"/>
        <v>-66080.240404892451</v>
      </c>
      <c r="N16" s="311">
        <f t="shared" si="3"/>
        <v>-72583.597324885603</v>
      </c>
      <c r="O16" s="311">
        <f t="shared" si="3"/>
        <v>-86617.737291735495</v>
      </c>
      <c r="P16" s="311">
        <f t="shared" si="3"/>
        <v>-81093.689757100641</v>
      </c>
      <c r="Q16" s="304"/>
      <c r="R16" s="311">
        <f t="shared" ref="R16:R33" si="4">I16/R$5</f>
        <v>-86617.737291735495</v>
      </c>
      <c r="S16" s="311">
        <f t="shared" si="0"/>
        <v>-81093.689757100641</v>
      </c>
    </row>
    <row r="17" spans="1:23" ht="15.6" x14ac:dyDescent="0.3">
      <c r="A17" s="37"/>
      <c r="B17" s="280" t="str">
        <f>CHOOSE(LanguagePage!$C$194,LanguagePage!$C212,LanguagePage!$D212)</f>
        <v>Отчисления в Фонд социальной защиты населения</v>
      </c>
      <c r="C17" s="315">
        <v>-38554</v>
      </c>
      <c r="D17" s="315">
        <v>-40139</v>
      </c>
      <c r="E17" s="315">
        <v>-44595</v>
      </c>
      <c r="F17" s="315">
        <v>-58727</v>
      </c>
      <c r="G17" s="315">
        <v>-58710</v>
      </c>
      <c r="H17" s="123"/>
      <c r="I17" s="315">
        <v>-58727</v>
      </c>
      <c r="J17" s="315">
        <v>-58710</v>
      </c>
      <c r="K17" s="308"/>
      <c r="L17" s="315">
        <f t="shared" si="3"/>
        <v>-19042.773881260495</v>
      </c>
      <c r="M17" s="315">
        <f t="shared" si="3"/>
        <v>-21161.429776465626</v>
      </c>
      <c r="N17" s="315">
        <f t="shared" si="3"/>
        <v>-22424.196711419521</v>
      </c>
      <c r="O17" s="315">
        <f t="shared" si="3"/>
        <v>-27718.412233917024</v>
      </c>
      <c r="P17" s="315">
        <f t="shared" si="3"/>
        <v>-25151.00886775479</v>
      </c>
      <c r="Q17" s="304"/>
      <c r="R17" s="315">
        <f t="shared" si="4"/>
        <v>-27718.412233917024</v>
      </c>
      <c r="S17" s="315">
        <f t="shared" si="0"/>
        <v>-25151.00886775479</v>
      </c>
      <c r="T17" s="2"/>
      <c r="U17" s="7"/>
      <c r="V17" s="2"/>
      <c r="W17" s="2"/>
    </row>
    <row r="18" spans="1:23" s="3" customFormat="1" ht="15.6" x14ac:dyDescent="0.3">
      <c r="A18" s="20"/>
      <c r="B18" s="280" t="str">
        <f>CHOOSE(LanguagePage!$C$194,LanguagePage!$C214,LanguagePage!$D214)</f>
        <v>Арендная плата</v>
      </c>
      <c r="C18" s="315">
        <v>-42647</v>
      </c>
      <c r="D18" s="315">
        <v>-41672</v>
      </c>
      <c r="E18" s="315">
        <v>-53445</v>
      </c>
      <c r="F18" s="315">
        <v>-68134</v>
      </c>
      <c r="G18" s="315">
        <v>-69660</v>
      </c>
      <c r="H18" s="123"/>
      <c r="I18" s="315">
        <v>-2049</v>
      </c>
      <c r="J18" s="315">
        <v>-1329</v>
      </c>
      <c r="K18" s="308"/>
      <c r="L18" s="315">
        <f t="shared" si="3"/>
        <v>-21064.407784253679</v>
      </c>
      <c r="M18" s="315">
        <f t="shared" si="3"/>
        <v>-21969.633066216786</v>
      </c>
      <c r="N18" s="315">
        <f t="shared" si="3"/>
        <v>-26874.340021119326</v>
      </c>
      <c r="O18" s="315">
        <f t="shared" si="3"/>
        <v>-32158.399018265918</v>
      </c>
      <c r="P18" s="315">
        <f t="shared" si="3"/>
        <v>-29841.922632052439</v>
      </c>
      <c r="Q18" s="321"/>
      <c r="R18" s="315">
        <f t="shared" si="4"/>
        <v>-967.10246849483167</v>
      </c>
      <c r="S18" s="315">
        <f t="shared" si="0"/>
        <v>-569.33556098187898</v>
      </c>
    </row>
    <row r="19" spans="1:23" s="3" customFormat="1" ht="15.6" x14ac:dyDescent="0.3">
      <c r="A19" s="20"/>
      <c r="B19" s="280" t="str">
        <f>CHOOSE(LanguagePage!$C$194,LanguagePage!$C216,LanguagePage!$D216)</f>
        <v>Коммунальные расходы</v>
      </c>
      <c r="C19" s="315">
        <v>-38378</v>
      </c>
      <c r="D19" s="315">
        <v>-38555</v>
      </c>
      <c r="E19" s="315">
        <v>-42824</v>
      </c>
      <c r="F19" s="315">
        <v>-47624</v>
      </c>
      <c r="G19" s="315">
        <v>-50874</v>
      </c>
      <c r="H19" s="123"/>
      <c r="I19" s="315">
        <v>-47624</v>
      </c>
      <c r="J19" s="315">
        <v>-50874</v>
      </c>
      <c r="K19" s="308"/>
      <c r="L19" s="315">
        <f t="shared" si="3"/>
        <v>-18955.843129507062</v>
      </c>
      <c r="M19" s="315">
        <f t="shared" si="3"/>
        <v>-20326.339097427244</v>
      </c>
      <c r="N19" s="315">
        <f t="shared" si="3"/>
        <v>-21533.665208427617</v>
      </c>
      <c r="O19" s="315">
        <f t="shared" si="3"/>
        <v>-22477.934582527021</v>
      </c>
      <c r="P19" s="315">
        <f t="shared" si="3"/>
        <v>-21794.113867112199</v>
      </c>
      <c r="Q19" s="321"/>
      <c r="R19" s="315">
        <f t="shared" si="4"/>
        <v>-22477.934582527021</v>
      </c>
      <c r="S19" s="315">
        <f t="shared" si="0"/>
        <v>-21794.113867112199</v>
      </c>
    </row>
    <row r="20" spans="1:23" s="3" customFormat="1" ht="15.6" x14ac:dyDescent="0.3">
      <c r="A20" s="20"/>
      <c r="B20" s="280" t="str">
        <f>CHOOSE(LanguagePage!$C$194,LanguagePage!$C218,LanguagePage!$D218)</f>
        <v>Амортизация основных средств</v>
      </c>
      <c r="C20" s="315">
        <v>-32397</v>
      </c>
      <c r="D20" s="315">
        <v>-37914</v>
      </c>
      <c r="E20" s="315">
        <v>-35821</v>
      </c>
      <c r="F20" s="322">
        <v>-40673</v>
      </c>
      <c r="G20" s="315">
        <v>-42284</v>
      </c>
      <c r="H20" s="123"/>
      <c r="I20" s="322">
        <v>-35184</v>
      </c>
      <c r="J20" s="315">
        <v>-38984</v>
      </c>
      <c r="K20" s="308"/>
      <c r="L20" s="315">
        <f t="shared" si="3"/>
        <v>-16001.679344067965</v>
      </c>
      <c r="M20" s="315">
        <f t="shared" si="3"/>
        <v>-19988.401518346687</v>
      </c>
      <c r="N20" s="315">
        <f t="shared" si="3"/>
        <v>-18012.269321667423</v>
      </c>
      <c r="O20" s="315">
        <f t="shared" si="3"/>
        <v>-19197.149195261245</v>
      </c>
      <c r="P20" s="315">
        <f t="shared" si="3"/>
        <v>-18114.209827357237</v>
      </c>
      <c r="Q20" s="321"/>
      <c r="R20" s="315">
        <f t="shared" si="4"/>
        <v>-16606.409590786803</v>
      </c>
      <c r="S20" s="315">
        <f t="shared" si="0"/>
        <v>-16700.509788801784</v>
      </c>
    </row>
    <row r="21" spans="1:23" s="3" customFormat="1" ht="15.6" x14ac:dyDescent="0.3">
      <c r="A21" s="20"/>
      <c r="B21" s="280" t="str">
        <f>CHOOSE(LanguagePage!$C$194,LanguagePage!$C220,LanguagePage!$D220)</f>
        <v>Амортизация нематериальных активов</v>
      </c>
      <c r="C21" s="315">
        <v>-34</v>
      </c>
      <c r="D21" s="315">
        <v>-1097</v>
      </c>
      <c r="E21" s="315">
        <v>-1184</v>
      </c>
      <c r="F21" s="322">
        <v>-2214</v>
      </c>
      <c r="G21" s="315">
        <v>-1705</v>
      </c>
      <c r="H21" s="123"/>
      <c r="I21" s="322">
        <v>-2214</v>
      </c>
      <c r="J21" s="315">
        <v>-1705</v>
      </c>
      <c r="K21" s="308"/>
      <c r="L21" s="315">
        <f t="shared" si="3"/>
        <v>-16.793440679640423</v>
      </c>
      <c r="M21" s="315">
        <f t="shared" si="3"/>
        <v>-578.34247153099955</v>
      </c>
      <c r="N21" s="315">
        <f t="shared" si="3"/>
        <v>-595.36380550108117</v>
      </c>
      <c r="O21" s="315">
        <f t="shared" si="3"/>
        <v>-1044.9804125171095</v>
      </c>
      <c r="P21" s="315">
        <f t="shared" si="3"/>
        <v>-730.41168658698541</v>
      </c>
      <c r="Q21" s="321"/>
      <c r="R21" s="315">
        <f t="shared" si="4"/>
        <v>-1044.9804125171095</v>
      </c>
      <c r="S21" s="315">
        <f t="shared" si="0"/>
        <v>-730.41168658698541</v>
      </c>
    </row>
    <row r="22" spans="1:23" s="3" customFormat="1" ht="15.6" x14ac:dyDescent="0.3">
      <c r="A22" s="20"/>
      <c r="B22" s="280" t="str">
        <f>CHOOSE(LanguagePage!$C$194,LanguagePage!$C221,LanguagePage!$D221)</f>
        <v>Амортизация прав использования</v>
      </c>
      <c r="C22" s="315">
        <v>0</v>
      </c>
      <c r="D22" s="315">
        <v>0</v>
      </c>
      <c r="E22" s="315">
        <v>0</v>
      </c>
      <c r="F22" s="315">
        <v>0</v>
      </c>
      <c r="G22" s="315">
        <v>0</v>
      </c>
      <c r="H22" s="123"/>
      <c r="I22" s="322">
        <v>-49108</v>
      </c>
      <c r="J22" s="315">
        <v>-47694</v>
      </c>
      <c r="K22" s="308"/>
      <c r="L22" s="315">
        <f t="shared" si="3"/>
        <v>0</v>
      </c>
      <c r="M22" s="315">
        <f t="shared" si="3"/>
        <v>0</v>
      </c>
      <c r="N22" s="315">
        <f t="shared" si="3"/>
        <v>0</v>
      </c>
      <c r="O22" s="315">
        <f t="shared" si="3"/>
        <v>0</v>
      </c>
      <c r="P22" s="315">
        <f t="shared" si="3"/>
        <v>0</v>
      </c>
      <c r="Q22" s="321"/>
      <c r="R22" s="315">
        <f t="shared" si="4"/>
        <v>-23178.364091187992</v>
      </c>
      <c r="S22" s="315">
        <f t="shared" si="0"/>
        <v>-20431.82110268603</v>
      </c>
    </row>
    <row r="23" spans="1:23" s="3" customFormat="1" ht="15.6" x14ac:dyDescent="0.3">
      <c r="A23" s="20"/>
      <c r="B23" s="280" t="str">
        <f>CHOOSE(LanguagePage!$C$194,LanguagePage!$C223,LanguagePage!$D223)</f>
        <v>Прочие материалы и канцелярия</v>
      </c>
      <c r="C23" s="315">
        <v>-8004</v>
      </c>
      <c r="D23" s="315">
        <v>-16080</v>
      </c>
      <c r="E23" s="315">
        <v>-13489</v>
      </c>
      <c r="F23" s="315">
        <v>-15119</v>
      </c>
      <c r="G23" s="315">
        <v>-18858</v>
      </c>
      <c r="H23" s="123"/>
      <c r="I23" s="315">
        <v>-15119</v>
      </c>
      <c r="J23" s="315">
        <v>-18858</v>
      </c>
      <c r="K23" s="308"/>
      <c r="L23" s="315">
        <f t="shared" ref="L23:L33" si="5">C23/L$5</f>
        <v>-3953.3735058777042</v>
      </c>
      <c r="M23" s="315">
        <f t="shared" ref="M23:M33" si="6">D23/M$5</f>
        <v>-8477.4356811471953</v>
      </c>
      <c r="N23" s="315">
        <f t="shared" ref="N23:N33" si="7">E23/N$5</f>
        <v>-6782.8229496656113</v>
      </c>
      <c r="O23" s="315">
        <f t="shared" ref="O23:O33" si="8">F23/O$5</f>
        <v>-7135.9796101382926</v>
      </c>
      <c r="P23" s="315">
        <f t="shared" ref="P23:P27" si="9">G23/P$5</f>
        <v>-8078.653129417813</v>
      </c>
      <c r="Q23" s="321"/>
      <c r="R23" s="315">
        <f t="shared" si="4"/>
        <v>-7135.9796101382926</v>
      </c>
      <c r="S23" s="315">
        <f t="shared" si="0"/>
        <v>-8078.653129417813</v>
      </c>
    </row>
    <row r="24" spans="1:23" s="3" customFormat="1" ht="15.6" x14ac:dyDescent="0.3">
      <c r="A24" s="20"/>
      <c r="B24" s="280" t="str">
        <f>CHOOSE(LanguagePage!$C$194,LanguagePage!$C225,LanguagePage!$D225)</f>
        <v>Ремонт и техническое обслуживание</v>
      </c>
      <c r="C24" s="315">
        <v>-3012</v>
      </c>
      <c r="D24" s="315">
        <v>-3787</v>
      </c>
      <c r="E24" s="315">
        <v>-8981</v>
      </c>
      <c r="F24" s="315">
        <v>-7142</v>
      </c>
      <c r="G24" s="315">
        <v>-3966</v>
      </c>
      <c r="H24" s="123"/>
      <c r="I24" s="315">
        <v>-7142</v>
      </c>
      <c r="J24" s="315">
        <v>-3966</v>
      </c>
      <c r="K24" s="308"/>
      <c r="L24" s="315">
        <f t="shared" si="5"/>
        <v>-1487.7012743257928</v>
      </c>
      <c r="M24" s="315">
        <f t="shared" si="6"/>
        <v>-1996.5204555040068</v>
      </c>
      <c r="N24" s="315">
        <f t="shared" si="7"/>
        <v>-4516.0154875044</v>
      </c>
      <c r="O24" s="315">
        <f t="shared" si="8"/>
        <v>-3370.9350073158066</v>
      </c>
      <c r="P24" s="315">
        <f t="shared" si="9"/>
        <v>-1699.0104099730113</v>
      </c>
      <c r="Q24" s="321"/>
      <c r="R24" s="315">
        <f t="shared" si="4"/>
        <v>-3370.9350073158066</v>
      </c>
      <c r="S24" s="315">
        <f t="shared" si="0"/>
        <v>-1699.0104099730113</v>
      </c>
    </row>
    <row r="25" spans="1:23" s="3" customFormat="1" ht="15.6" x14ac:dyDescent="0.3">
      <c r="A25" s="20"/>
      <c r="B25" s="279" t="str">
        <f>CHOOSE(LanguagePage!$C$194,LanguagePage!$C227,LanguagePage!$D227)</f>
        <v>Маркетинговые расходы и расходы на рекламу</v>
      </c>
      <c r="C25" s="308">
        <v>-5172</v>
      </c>
      <c r="D25" s="308">
        <v>-18493</v>
      </c>
      <c r="E25" s="308">
        <v>-25548</v>
      </c>
      <c r="F25" s="308">
        <v>-22240</v>
      </c>
      <c r="G25" s="308">
        <v>-10021</v>
      </c>
      <c r="H25" s="123"/>
      <c r="I25" s="308">
        <v>-22240</v>
      </c>
      <c r="J25" s="308">
        <v>-10021</v>
      </c>
      <c r="K25" s="308"/>
      <c r="L25" s="308">
        <f t="shared" si="5"/>
        <v>-2554.5786822088317</v>
      </c>
      <c r="M25" s="308">
        <f t="shared" si="6"/>
        <v>-9749.5782370307879</v>
      </c>
      <c r="N25" s="308">
        <f t="shared" si="7"/>
        <v>-12846.583195052044</v>
      </c>
      <c r="O25" s="308">
        <f t="shared" si="8"/>
        <v>-10497.002879123991</v>
      </c>
      <c r="P25" s="308">
        <f t="shared" si="9"/>
        <v>-4292.9357837467342</v>
      </c>
      <c r="Q25" s="321"/>
      <c r="R25" s="308">
        <f t="shared" si="4"/>
        <v>-10497.002879123991</v>
      </c>
      <c r="S25" s="308">
        <f t="shared" si="0"/>
        <v>-4292.9357837467342</v>
      </c>
    </row>
    <row r="26" spans="1:23" s="3" customFormat="1" ht="15.6" x14ac:dyDescent="0.3">
      <c r="A26" s="20"/>
      <c r="B26" s="280" t="str">
        <f>CHOOSE(LanguagePage!$C$194,LanguagePage!$C229,LanguagePage!$D229)</f>
        <v>Профессиональные услуги</v>
      </c>
      <c r="C26" s="315">
        <v>-4142</v>
      </c>
      <c r="D26" s="315">
        <v>-5306</v>
      </c>
      <c r="E26" s="315">
        <v>-9642</v>
      </c>
      <c r="F26" s="315">
        <v>-21361</v>
      </c>
      <c r="G26" s="315">
        <v>-20109</v>
      </c>
      <c r="H26" s="123"/>
      <c r="I26" s="315">
        <v>-21361</v>
      </c>
      <c r="J26" s="315">
        <v>-20109</v>
      </c>
      <c r="K26" s="308"/>
      <c r="L26" s="315">
        <f t="shared" si="5"/>
        <v>-2045.836214560901</v>
      </c>
      <c r="M26" s="315">
        <f t="shared" si="6"/>
        <v>-2797.3428932939687</v>
      </c>
      <c r="N26" s="315">
        <f t="shared" si="7"/>
        <v>-4848.3934228390408</v>
      </c>
      <c r="O26" s="315">
        <f t="shared" si="8"/>
        <v>-10082.125831878038</v>
      </c>
      <c r="P26" s="315">
        <f t="shared" si="9"/>
        <v>-8614.5739622156543</v>
      </c>
      <c r="Q26" s="321"/>
      <c r="R26" s="315">
        <f t="shared" si="4"/>
        <v>-10082.125831878038</v>
      </c>
      <c r="S26" s="315">
        <f t="shared" si="0"/>
        <v>-8614.5739622156543</v>
      </c>
    </row>
    <row r="27" spans="1:23" s="3" customFormat="1" ht="15.6" x14ac:dyDescent="0.3">
      <c r="A27" s="20"/>
      <c r="B27" s="280" t="str">
        <f>CHOOSE(LanguagePage!$C$194,LanguagePage!$C233,LanguagePage!$D233)</f>
        <v>Налоги, кроме налога на прибыль</v>
      </c>
      <c r="C27" s="315">
        <v>-13905</v>
      </c>
      <c r="D27" s="315">
        <v>-16580</v>
      </c>
      <c r="E27" s="315">
        <v>-18052</v>
      </c>
      <c r="F27" s="315">
        <v>-15532</v>
      </c>
      <c r="G27" s="315">
        <v>-13060</v>
      </c>
      <c r="H27" s="123"/>
      <c r="I27" s="315">
        <v>-15532</v>
      </c>
      <c r="J27" s="315">
        <v>-13060</v>
      </c>
      <c r="K27" s="308"/>
      <c r="L27" s="315">
        <f t="shared" si="5"/>
        <v>-6868.0233132470612</v>
      </c>
      <c r="M27" s="315">
        <f t="shared" si="6"/>
        <v>-8741.0375369042595</v>
      </c>
      <c r="N27" s="315">
        <f t="shared" si="7"/>
        <v>-9077.2866696837136</v>
      </c>
      <c r="O27" s="315">
        <f t="shared" si="8"/>
        <v>-7330.9104639637517</v>
      </c>
      <c r="P27" s="315">
        <f t="shared" si="9"/>
        <v>-5594.8250010709853</v>
      </c>
      <c r="Q27" s="321"/>
      <c r="R27" s="315">
        <f t="shared" si="4"/>
        <v>-7330.9104639637517</v>
      </c>
      <c r="S27" s="315">
        <f t="shared" si="0"/>
        <v>-5594.8250010709853</v>
      </c>
    </row>
    <row r="28" spans="1:23" s="3" customFormat="1" ht="15.6" x14ac:dyDescent="0.3">
      <c r="A28" s="20"/>
      <c r="B28" s="280" t="str">
        <f>CHOOSE(LanguagePage!$C$194,LanguagePage!$C231,LanguagePage!$D231)</f>
        <v>Вознаграждение аудиторам</v>
      </c>
      <c r="C28" s="315">
        <v>0</v>
      </c>
      <c r="D28" s="315">
        <v>0</v>
      </c>
      <c r="E28" s="315">
        <v>0</v>
      </c>
      <c r="F28" s="315">
        <v>-260</v>
      </c>
      <c r="G28" s="315">
        <v>-321</v>
      </c>
      <c r="H28" s="123"/>
      <c r="I28" s="315">
        <v>-260</v>
      </c>
      <c r="J28" s="315">
        <v>-321</v>
      </c>
      <c r="K28" s="308"/>
      <c r="L28" s="315">
        <f t="shared" si="5"/>
        <v>0</v>
      </c>
      <c r="M28" s="315">
        <f t="shared" si="6"/>
        <v>0</v>
      </c>
      <c r="N28" s="315">
        <f t="shared" si="7"/>
        <v>0</v>
      </c>
      <c r="O28" s="315">
        <f t="shared" si="8"/>
        <v>-122.71676027752868</v>
      </c>
      <c r="P28" s="315">
        <f>G28/P$5</f>
        <v>-137.51445829584887</v>
      </c>
      <c r="Q28" s="321"/>
      <c r="R28" s="315">
        <f t="shared" si="4"/>
        <v>-122.71676027752868</v>
      </c>
      <c r="S28" s="315">
        <f t="shared" si="0"/>
        <v>-137.51445829584887</v>
      </c>
    </row>
    <row r="29" spans="1:23" s="3" customFormat="1" ht="15.6" x14ac:dyDescent="0.3">
      <c r="A29" s="20"/>
      <c r="B29" s="280" t="str">
        <f>CHOOSE(LanguagePage!$C$194,LanguagePage!$C240,LanguagePage!$D240)</f>
        <v xml:space="preserve">Прочие </v>
      </c>
      <c r="C29" s="315">
        <v>-9038</v>
      </c>
      <c r="D29" s="315">
        <v>-10073</v>
      </c>
      <c r="E29" s="315">
        <v>-9300</v>
      </c>
      <c r="F29" s="322">
        <v>-10736</v>
      </c>
      <c r="G29" s="315">
        <v>-10359</v>
      </c>
      <c r="H29" s="123"/>
      <c r="I29" s="322">
        <v>-10736</v>
      </c>
      <c r="J29" s="315">
        <v>-10359</v>
      </c>
      <c r="K29" s="308"/>
      <c r="L29" s="315">
        <f t="shared" si="5"/>
        <v>-4464.0916724291219</v>
      </c>
      <c r="M29" s="315">
        <f t="shared" si="6"/>
        <v>-5310.5229860818217</v>
      </c>
      <c r="N29" s="315">
        <f t="shared" si="7"/>
        <v>-4676.4217830743701</v>
      </c>
      <c r="O29" s="315">
        <f t="shared" si="8"/>
        <v>-5067.2582243828765</v>
      </c>
      <c r="P29" s="315">
        <f t="shared" ref="P29:P47" si="10">G29/P$5</f>
        <v>-4437.7329392108986</v>
      </c>
      <c r="Q29" s="321"/>
      <c r="R29" s="315">
        <f t="shared" si="4"/>
        <v>-5067.2582243828765</v>
      </c>
      <c r="S29" s="315">
        <f t="shared" si="0"/>
        <v>-4437.7329392108986</v>
      </c>
    </row>
    <row r="30" spans="1:23" s="3" customFormat="1" ht="15.6" x14ac:dyDescent="0.3">
      <c r="A30" s="20"/>
      <c r="B30" s="310"/>
      <c r="C30" s="311"/>
      <c r="D30" s="311"/>
      <c r="E30" s="311"/>
      <c r="F30" s="311"/>
      <c r="G30" s="311"/>
      <c r="H30" s="123"/>
      <c r="I30" s="320"/>
      <c r="J30" s="311"/>
      <c r="K30" s="311"/>
      <c r="L30" s="311">
        <f t="shared" si="5"/>
        <v>0</v>
      </c>
      <c r="M30" s="311">
        <f t="shared" si="6"/>
        <v>0</v>
      </c>
      <c r="N30" s="311">
        <f t="shared" si="7"/>
        <v>0</v>
      </c>
      <c r="O30" s="311">
        <f t="shared" si="8"/>
        <v>0</v>
      </c>
      <c r="P30" s="311">
        <f t="shared" si="10"/>
        <v>0</v>
      </c>
      <c r="Q30" s="321"/>
      <c r="R30" s="311">
        <f t="shared" si="4"/>
        <v>0</v>
      </c>
      <c r="S30" s="311">
        <f t="shared" si="0"/>
        <v>0</v>
      </c>
    </row>
    <row r="31" spans="1:23" s="3" customFormat="1" ht="15.6" x14ac:dyDescent="0.3">
      <c r="A31" s="20"/>
      <c r="B31" s="318" t="str">
        <f>CHOOSE(LanguagePage!$C$194,LanguagePage!$C237,LanguagePage!$D237)</f>
        <v>Изменение в резерве под обесценение дебиторской задолженности</v>
      </c>
      <c r="C31" s="306">
        <v>-10334</v>
      </c>
      <c r="D31" s="306">
        <v>-1314</v>
      </c>
      <c r="E31" s="306">
        <v>-1319</v>
      </c>
      <c r="F31" s="307">
        <v>121</v>
      </c>
      <c r="G31" s="307">
        <v>-1225</v>
      </c>
      <c r="H31" s="319"/>
      <c r="I31" s="307">
        <v>121</v>
      </c>
      <c r="J31" s="307">
        <v>-1225</v>
      </c>
      <c r="K31" s="308"/>
      <c r="L31" s="306">
        <f>C31/L$5</f>
        <v>-5104.2181171589455</v>
      </c>
      <c r="M31" s="306">
        <f>D31/M$5</f>
        <v>-692.74567692956555</v>
      </c>
      <c r="N31" s="306">
        <f>E31/N$5</f>
        <v>-663.24734751345102</v>
      </c>
      <c r="O31" s="306">
        <f>F31/O$5</f>
        <v>57.11049228300373</v>
      </c>
      <c r="P31" s="306">
        <f>G31/P$5</f>
        <v>-524.7825900698283</v>
      </c>
      <c r="Q31" s="332"/>
      <c r="R31" s="306">
        <f>I31/R$5</f>
        <v>57.11049228300373</v>
      </c>
      <c r="S31" s="306">
        <f>J31/S$5</f>
        <v>-524.7825900698283</v>
      </c>
    </row>
    <row r="32" spans="1:23" s="3" customFormat="1" ht="15.6" x14ac:dyDescent="0.3">
      <c r="A32" s="20"/>
      <c r="B32" s="281" t="str">
        <f>CHOOSE(LanguagePage!$C$194,LanguagePage!$C243,LanguagePage!$D243)</f>
        <v>Прочие доходы</v>
      </c>
      <c r="C32" s="311">
        <v>5036</v>
      </c>
      <c r="D32" s="311">
        <v>5682</v>
      </c>
      <c r="E32" s="311">
        <v>9195</v>
      </c>
      <c r="F32" s="311">
        <v>7666</v>
      </c>
      <c r="G32" s="311">
        <v>5574</v>
      </c>
      <c r="H32" s="123"/>
      <c r="I32" s="320">
        <v>7666</v>
      </c>
      <c r="J32" s="311">
        <v>5574</v>
      </c>
      <c r="K32" s="311"/>
      <c r="L32" s="311">
        <f t="shared" si="5"/>
        <v>2487.4049194902695</v>
      </c>
      <c r="M32" s="311">
        <f t="shared" si="6"/>
        <v>2995.5714888232815</v>
      </c>
      <c r="N32" s="311">
        <f t="shared" si="7"/>
        <v>4623.6234726203047</v>
      </c>
      <c r="O32" s="311">
        <f t="shared" si="8"/>
        <v>3618.2564780289799</v>
      </c>
      <c r="P32" s="311">
        <f t="shared" si="10"/>
        <v>2387.8678833054878</v>
      </c>
      <c r="Q32" s="321"/>
      <c r="R32" s="311">
        <f t="shared" si="4"/>
        <v>3618.2564780289799</v>
      </c>
      <c r="S32" s="311">
        <f>J32/S$5</f>
        <v>2387.8678833054878</v>
      </c>
    </row>
    <row r="33" spans="1:19" s="3" customFormat="1" ht="15.6" x14ac:dyDescent="0.3">
      <c r="A33" s="20"/>
      <c r="B33" s="282" t="str">
        <f>CHOOSE(LanguagePage!$C$194,LanguagePage!$C244,LanguagePage!$D244)</f>
        <v>Прочие расходы</v>
      </c>
      <c r="C33" s="315">
        <v>-12993</v>
      </c>
      <c r="D33" s="315">
        <v>-13246</v>
      </c>
      <c r="E33" s="315">
        <v>-7424</v>
      </c>
      <c r="F33" s="315">
        <v>-8606</v>
      </c>
      <c r="G33" s="315">
        <v>-12107</v>
      </c>
      <c r="H33" s="123"/>
      <c r="I33" s="315">
        <v>-8606</v>
      </c>
      <c r="J33" s="315">
        <v>-12107</v>
      </c>
      <c r="K33" s="308"/>
      <c r="L33" s="315">
        <f t="shared" si="5"/>
        <v>-6417.5639632520006</v>
      </c>
      <c r="M33" s="315">
        <f t="shared" si="6"/>
        <v>-6983.3403627161533</v>
      </c>
      <c r="N33" s="315">
        <f t="shared" si="7"/>
        <v>-3733.0919696284004</v>
      </c>
      <c r="O33" s="315">
        <f t="shared" si="8"/>
        <v>-4061.9247651861992</v>
      </c>
      <c r="P33" s="315">
        <f t="shared" si="10"/>
        <v>-5186.5655656942126</v>
      </c>
      <c r="Q33" s="321"/>
      <c r="R33" s="315">
        <f t="shared" si="4"/>
        <v>-4061.9247651861992</v>
      </c>
      <c r="S33" s="315">
        <f t="shared" si="0"/>
        <v>-5186.5655656942126</v>
      </c>
    </row>
    <row r="34" spans="1:19" s="3" customFormat="1" ht="15.6" x14ac:dyDescent="0.3">
      <c r="A34" s="20"/>
      <c r="B34" s="310"/>
      <c r="C34" s="333"/>
      <c r="D34" s="333"/>
      <c r="E34" s="333"/>
      <c r="F34" s="333"/>
      <c r="G34" s="333"/>
      <c r="H34" s="123"/>
      <c r="I34" s="334"/>
      <c r="J34" s="333"/>
      <c r="K34" s="333"/>
      <c r="L34" s="333"/>
      <c r="M34" s="333"/>
      <c r="N34" s="333"/>
      <c r="O34" s="333"/>
      <c r="P34" s="333"/>
      <c r="Q34" s="321"/>
      <c r="R34" s="333"/>
      <c r="S34" s="333"/>
    </row>
    <row r="35" spans="1:19" s="3" customFormat="1" ht="15.6" x14ac:dyDescent="0.3">
      <c r="A35" s="20"/>
      <c r="B35" s="299" t="str">
        <f>CHOOSE(LanguagePage!$C$194,LanguagePage!$C245,LanguagePage!$D245)</f>
        <v>Операционная прибыль</v>
      </c>
      <c r="C35" s="300">
        <f>C12+C14+C32+C33+C31</f>
        <v>62103</v>
      </c>
      <c r="D35" s="300">
        <f t="shared" ref="D35:R35" si="11">D12+D14+D32+D33+D31</f>
        <v>140838</v>
      </c>
      <c r="E35" s="300">
        <f t="shared" si="11"/>
        <v>154997</v>
      </c>
      <c r="F35" s="300">
        <f t="shared" si="11"/>
        <v>112411</v>
      </c>
      <c r="G35" s="300">
        <f t="shared" si="11"/>
        <v>149149</v>
      </c>
      <c r="H35" s="123"/>
      <c r="I35" s="300">
        <f t="shared" si="11"/>
        <v>134877</v>
      </c>
      <c r="J35" s="300">
        <f t="shared" si="11"/>
        <v>173086</v>
      </c>
      <c r="K35" s="303"/>
      <c r="L35" s="300">
        <f t="shared" si="11"/>
        <v>30674.207250814994</v>
      </c>
      <c r="M35" s="300">
        <f t="shared" si="11"/>
        <v>74250.316322226834</v>
      </c>
      <c r="N35" s="300">
        <f t="shared" si="11"/>
        <v>77938.854528083728</v>
      </c>
      <c r="O35" s="300">
        <f t="shared" si="11"/>
        <v>53056.591305989627</v>
      </c>
      <c r="P35" s="300">
        <f t="shared" si="11"/>
        <v>63894.529409244795</v>
      </c>
      <c r="Q35" s="321"/>
      <c r="R35" s="300">
        <f t="shared" si="11"/>
        <v>63660.263369047141</v>
      </c>
      <c r="S35" s="300">
        <f>S12+S14+S32+S33+S31</f>
        <v>74148.9954161848</v>
      </c>
    </row>
    <row r="36" spans="1:19" s="3" customFormat="1" ht="15.6" x14ac:dyDescent="0.3">
      <c r="A36" s="20"/>
      <c r="B36" s="350"/>
      <c r="C36" s="335"/>
      <c r="D36" s="335"/>
      <c r="E36" s="335"/>
      <c r="F36" s="335"/>
      <c r="G36" s="335"/>
      <c r="H36" s="123"/>
      <c r="I36" s="335"/>
      <c r="J36" s="335"/>
      <c r="K36" s="335"/>
      <c r="L36" s="335"/>
      <c r="M36" s="335"/>
      <c r="N36" s="335"/>
      <c r="O36" s="335"/>
      <c r="P36" s="335"/>
      <c r="Q36" s="321"/>
      <c r="R36" s="335"/>
      <c r="S36" s="335"/>
    </row>
    <row r="37" spans="1:19" s="3" customFormat="1" ht="15.6" x14ac:dyDescent="0.3">
      <c r="A37" s="20"/>
      <c r="B37" s="351" t="str">
        <f>CHOOSE(LanguagePage!$C$194,LanguagePage!$C249,LanguagePage!$D249)</f>
        <v>Чистые финансовые расходы</v>
      </c>
      <c r="C37" s="303">
        <f>C38+C39</f>
        <v>-185486</v>
      </c>
      <c r="D37" s="303">
        <f>D38+D39</f>
        <v>-74855</v>
      </c>
      <c r="E37" s="303">
        <f>E38+E39</f>
        <v>-68930</v>
      </c>
      <c r="F37" s="336">
        <f>F38+F39</f>
        <v>-33052</v>
      </c>
      <c r="G37" s="336">
        <f>G38+G39</f>
        <v>-211978</v>
      </c>
      <c r="H37" s="123"/>
      <c r="I37" s="337">
        <f t="shared" ref="I37:J37" si="12">I38+I39</f>
        <v>-27860</v>
      </c>
      <c r="J37" s="337">
        <f t="shared" si="12"/>
        <v>-286688</v>
      </c>
      <c r="K37" s="303"/>
      <c r="L37" s="303">
        <f>L38+L39</f>
        <v>-91616.121703052457</v>
      </c>
      <c r="M37" s="303">
        <f>M38+M39</f>
        <v>-39463.833825390131</v>
      </c>
      <c r="N37" s="303">
        <f>N38+N39</f>
        <v>-34660.833710464118</v>
      </c>
      <c r="O37" s="303">
        <f>O38+O39</f>
        <v>-15600.132156511067</v>
      </c>
      <c r="P37" s="303">
        <f>P38+P39</f>
        <v>-90810.092961487389</v>
      </c>
      <c r="Q37" s="321"/>
      <c r="R37" s="303">
        <f>R38+R39</f>
        <v>-13149.572851276727</v>
      </c>
      <c r="S37" s="303">
        <f>S38+S39</f>
        <v>-122815.40504648075</v>
      </c>
    </row>
    <row r="38" spans="1:19" s="3" customFormat="1" ht="15.6" x14ac:dyDescent="0.3">
      <c r="A38" s="20"/>
      <c r="B38" s="281" t="str">
        <f>CHOOSE(LanguagePage!$C$194,LanguagePage!$C247,LanguagePage!$D247)</f>
        <v xml:space="preserve">Финансовые расходы </v>
      </c>
      <c r="C38" s="311">
        <v>-185550</v>
      </c>
      <c r="D38" s="311">
        <v>-78121</v>
      </c>
      <c r="E38" s="311">
        <v>-70717</v>
      </c>
      <c r="F38" s="312">
        <v>-71142</v>
      </c>
      <c r="G38" s="312">
        <v>-214672</v>
      </c>
      <c r="H38" s="123"/>
      <c r="I38" s="338">
        <v>-88575</v>
      </c>
      <c r="J38" s="320">
        <v>-289382</v>
      </c>
      <c r="K38" s="311"/>
      <c r="L38" s="311">
        <f t="shared" ref="L38:O39" si="13">C38/L$5</f>
        <v>-91647.732885508245</v>
      </c>
      <c r="M38" s="311">
        <f t="shared" si="13"/>
        <v>-41185.681147195275</v>
      </c>
      <c r="N38" s="311">
        <f t="shared" si="13"/>
        <v>-35559.410670287121</v>
      </c>
      <c r="O38" s="311">
        <f t="shared" si="13"/>
        <v>-33578.137537169016</v>
      </c>
      <c r="P38" s="311">
        <f t="shared" si="10"/>
        <v>-91964.186265689932</v>
      </c>
      <c r="Q38" s="321"/>
      <c r="R38" s="311">
        <f>I38/R$5</f>
        <v>-41806.296313777319</v>
      </c>
      <c r="S38" s="311">
        <f t="shared" si="0"/>
        <v>-123969.49835068329</v>
      </c>
    </row>
    <row r="39" spans="1:19" s="3" customFormat="1" ht="15.6" x14ac:dyDescent="0.3">
      <c r="A39" s="20"/>
      <c r="B39" s="282" t="str">
        <f>CHOOSE(LanguagePage!$C$194,LanguagePage!$C248,LanguagePage!$D248)</f>
        <v>Финансовые доходы</v>
      </c>
      <c r="C39" s="315">
        <v>64</v>
      </c>
      <c r="D39" s="315">
        <v>3266</v>
      </c>
      <c r="E39" s="315">
        <v>1787</v>
      </c>
      <c r="F39" s="322">
        <v>38090</v>
      </c>
      <c r="G39" s="322">
        <v>2694</v>
      </c>
      <c r="H39" s="123"/>
      <c r="I39" s="315">
        <v>60715</v>
      </c>
      <c r="J39" s="315">
        <v>2694</v>
      </c>
      <c r="K39" s="308"/>
      <c r="L39" s="315">
        <f t="shared" si="13"/>
        <v>31.611182455793738</v>
      </c>
      <c r="M39" s="315">
        <f t="shared" si="13"/>
        <v>1721.8473218051454</v>
      </c>
      <c r="N39" s="315">
        <f t="shared" si="13"/>
        <v>898.57695982300004</v>
      </c>
      <c r="O39" s="315">
        <f t="shared" si="13"/>
        <v>17978.005380657949</v>
      </c>
      <c r="P39" s="315">
        <f t="shared" si="10"/>
        <v>1154.0933042025447</v>
      </c>
      <c r="Q39" s="321"/>
      <c r="R39" s="315">
        <f>I39/R$5</f>
        <v>28656.723462500591</v>
      </c>
      <c r="S39" s="315">
        <f t="shared" si="0"/>
        <v>1154.0933042025447</v>
      </c>
    </row>
    <row r="40" spans="1:19" s="3" customFormat="1" ht="15.6" x14ac:dyDescent="0.3">
      <c r="A40" s="20"/>
      <c r="B40" s="321"/>
      <c r="C40" s="321"/>
      <c r="D40" s="321"/>
      <c r="E40" s="321"/>
      <c r="F40" s="321"/>
      <c r="G40" s="321"/>
      <c r="H40" s="123"/>
      <c r="I40" s="321"/>
      <c r="J40" s="321"/>
      <c r="K40" s="332"/>
      <c r="L40" s="321"/>
      <c r="M40" s="321"/>
      <c r="N40" s="321"/>
      <c r="O40" s="321"/>
      <c r="P40" s="321"/>
      <c r="Q40" s="321"/>
      <c r="R40" s="321"/>
      <c r="S40" s="321"/>
    </row>
    <row r="41" spans="1:19" s="3" customFormat="1" ht="15.6" x14ac:dyDescent="0.3">
      <c r="A41" s="20"/>
      <c r="B41" s="352" t="str">
        <f>CHOOSE(LanguagePage!$C$194,LanguagePage!$C251,LanguagePage!$D251)</f>
        <v>Прибыль от чистой немонетарной позиции</v>
      </c>
      <c r="C41" s="339">
        <v>0</v>
      </c>
      <c r="D41" s="339">
        <v>0</v>
      </c>
      <c r="E41" s="339">
        <v>0</v>
      </c>
      <c r="F41" s="339">
        <v>0</v>
      </c>
      <c r="G41" s="339">
        <v>0</v>
      </c>
      <c r="H41" s="123"/>
      <c r="I41" s="340">
        <v>0</v>
      </c>
      <c r="J41" s="340">
        <v>0</v>
      </c>
      <c r="K41" s="341"/>
      <c r="L41" s="339">
        <f>C41/L$5</f>
        <v>0</v>
      </c>
      <c r="M41" s="339">
        <f>D41/M$5</f>
        <v>0</v>
      </c>
      <c r="N41" s="339">
        <f>E41/N$5</f>
        <v>0</v>
      </c>
      <c r="O41" s="339">
        <f>F41/O$5</f>
        <v>0</v>
      </c>
      <c r="P41" s="339">
        <f t="shared" si="10"/>
        <v>0</v>
      </c>
      <c r="Q41" s="321"/>
      <c r="R41" s="339">
        <f>I41/R$5</f>
        <v>0</v>
      </c>
      <c r="S41" s="339">
        <f t="shared" si="0"/>
        <v>0</v>
      </c>
    </row>
    <row r="42" spans="1:19" s="3" customFormat="1" ht="15.6" x14ac:dyDescent="0.3">
      <c r="A42" s="20"/>
      <c r="B42" s="350"/>
      <c r="C42" s="333"/>
      <c r="D42" s="333"/>
      <c r="E42" s="333"/>
      <c r="F42" s="333"/>
      <c r="G42" s="333"/>
      <c r="H42" s="123"/>
      <c r="I42" s="334"/>
      <c r="J42" s="334"/>
      <c r="K42" s="333"/>
      <c r="L42" s="333"/>
      <c r="M42" s="333"/>
      <c r="N42" s="333"/>
      <c r="O42" s="333"/>
      <c r="P42" s="333"/>
      <c r="Q42" s="321"/>
      <c r="R42" s="333"/>
      <c r="S42" s="333"/>
    </row>
    <row r="43" spans="1:19" s="3" customFormat="1" x14ac:dyDescent="0.3">
      <c r="A43" s="20"/>
      <c r="B43" s="353" t="str">
        <f>CHOOSE(LanguagePage!$C$194,LanguagePage!$C253,LanguagePage!$D253)</f>
        <v>Прибыль (убыток) до налогообложения</v>
      </c>
      <c r="C43" s="341">
        <f>C35+C37+C41</f>
        <v>-123383</v>
      </c>
      <c r="D43" s="341">
        <f>D35+D37+D41</f>
        <v>65983</v>
      </c>
      <c r="E43" s="341">
        <f>E35+E37+E41</f>
        <v>86067</v>
      </c>
      <c r="F43" s="341">
        <f>F35+F37+F41</f>
        <v>79359</v>
      </c>
      <c r="G43" s="341">
        <f>G35+G37+G41</f>
        <v>-62829</v>
      </c>
      <c r="H43" s="341"/>
      <c r="I43" s="342">
        <f>I35+I37+I41</f>
        <v>107017</v>
      </c>
      <c r="J43" s="342">
        <f>J35+J37+J41</f>
        <v>-113602</v>
      </c>
      <c r="K43" s="341"/>
      <c r="L43" s="341">
        <f>L35+L37+L41</f>
        <v>-60941.914452237463</v>
      </c>
      <c r="M43" s="341">
        <f>M35+M37+M41</f>
        <v>34786.482496836703</v>
      </c>
      <c r="N43" s="341">
        <f>N35+N37+N41</f>
        <v>43278.02081761961</v>
      </c>
      <c r="O43" s="341">
        <f>O35+O37+O41</f>
        <v>37456.459149478556</v>
      </c>
      <c r="P43" s="341">
        <f>P35+P37+P41</f>
        <v>-26915.563552242595</v>
      </c>
      <c r="Q43" s="321"/>
      <c r="R43" s="341">
        <f>R35+R37+R41</f>
        <v>50510.690517770418</v>
      </c>
      <c r="S43" s="341">
        <f>S35+S37+S41</f>
        <v>-48666.409630295952</v>
      </c>
    </row>
    <row r="44" spans="1:19" s="3" customFormat="1" ht="15.6" x14ac:dyDescent="0.3">
      <c r="A44" s="20"/>
      <c r="B44" s="282" t="str">
        <f>CHOOSE(LanguagePage!$C$194,LanguagePage!$C254,LanguagePage!$D254)</f>
        <v>Выгода (расход) по налогу на прибыль</v>
      </c>
      <c r="C44" s="315">
        <v>19320</v>
      </c>
      <c r="D44" s="315">
        <v>-7067</v>
      </c>
      <c r="E44" s="315">
        <v>-17389</v>
      </c>
      <c r="F44" s="322">
        <v>-17624</v>
      </c>
      <c r="G44" s="322">
        <v>-14204</v>
      </c>
      <c r="H44" s="123"/>
      <c r="I44" s="315">
        <v>-22602</v>
      </c>
      <c r="J44" s="315">
        <v>-5065</v>
      </c>
      <c r="K44" s="308"/>
      <c r="L44" s="315">
        <f>C44/L$5</f>
        <v>9542.6257038427339</v>
      </c>
      <c r="M44" s="315">
        <f>D44/M$5</f>
        <v>-3725.7486292703502</v>
      </c>
      <c r="N44" s="315">
        <f>E44/N$5</f>
        <v>-8743.9030522451849</v>
      </c>
      <c r="O44" s="315">
        <f>F44/O$5</f>
        <v>-8318.308396658329</v>
      </c>
      <c r="P44" s="315">
        <f t="shared" si="10"/>
        <v>-6084.9076811035429</v>
      </c>
      <c r="Q44" s="321"/>
      <c r="R44" s="315">
        <f>I44/R$5</f>
        <v>-10667.862368433473</v>
      </c>
      <c r="S44" s="315">
        <f t="shared" si="0"/>
        <v>-2169.8153622070859</v>
      </c>
    </row>
    <row r="45" spans="1:19" s="3" customFormat="1" ht="15.6" x14ac:dyDescent="0.3">
      <c r="A45" s="20"/>
      <c r="B45" s="310"/>
      <c r="C45" s="333"/>
      <c r="D45" s="333"/>
      <c r="E45" s="333"/>
      <c r="F45" s="333"/>
      <c r="G45" s="333"/>
      <c r="H45" s="123"/>
      <c r="I45" s="334"/>
      <c r="J45" s="334"/>
      <c r="K45" s="333"/>
      <c r="L45" s="333"/>
      <c r="M45" s="333"/>
      <c r="N45" s="333"/>
      <c r="O45" s="333"/>
      <c r="P45" s="333"/>
      <c r="Q45" s="321"/>
      <c r="R45" s="333"/>
      <c r="S45" s="333"/>
    </row>
    <row r="46" spans="1:19" s="3" customFormat="1" x14ac:dyDescent="0.3">
      <c r="A46" s="38"/>
      <c r="B46" s="353" t="str">
        <f>CHOOSE(LanguagePage!$C$194,LanguagePage!$C255,LanguagePage!$D255)</f>
        <v>Прибыль (убыток) от продолжающейся деятельности</v>
      </c>
      <c r="C46" s="341">
        <f>C43+C44</f>
        <v>-104063</v>
      </c>
      <c r="D46" s="341">
        <f>D43+D44</f>
        <v>58916</v>
      </c>
      <c r="E46" s="341">
        <f>E43+E44</f>
        <v>68678</v>
      </c>
      <c r="F46" s="341">
        <f>F43+F44</f>
        <v>61735</v>
      </c>
      <c r="G46" s="341">
        <f>G43+G44</f>
        <v>-77033</v>
      </c>
      <c r="H46" s="341"/>
      <c r="I46" s="342">
        <f t="shared" ref="I46:J46" si="14">I43+I44</f>
        <v>84415</v>
      </c>
      <c r="J46" s="342">
        <f t="shared" si="14"/>
        <v>-118667</v>
      </c>
      <c r="K46" s="341"/>
      <c r="L46" s="341">
        <f>L43+L44</f>
        <v>-51399.288748394727</v>
      </c>
      <c r="M46" s="341">
        <f>M43+M44</f>
        <v>31060.733867566352</v>
      </c>
      <c r="N46" s="341">
        <f>N43+N44</f>
        <v>34534.117765374423</v>
      </c>
      <c r="O46" s="341">
        <f>O43+O44</f>
        <v>29138.150752820227</v>
      </c>
      <c r="P46" s="341">
        <f t="shared" si="10"/>
        <v>-33000.471233346187</v>
      </c>
      <c r="Q46" s="321"/>
      <c r="R46" s="341">
        <f>R43+R44</f>
        <v>39842.828149336943</v>
      </c>
      <c r="S46" s="341">
        <f>S43+S44</f>
        <v>-50836.224992503034</v>
      </c>
    </row>
    <row r="47" spans="1:19" s="3" customFormat="1" ht="15.6" x14ac:dyDescent="0.3">
      <c r="A47" s="38"/>
      <c r="B47" s="282" t="str">
        <f>CHOOSE(LanguagePage!$C$194,LanguagePage!$C256,LanguagePage!$D256)</f>
        <v>Убыток от прекращенной деятельности с учетом налога</v>
      </c>
      <c r="C47" s="343">
        <v>0</v>
      </c>
      <c r="D47" s="343">
        <v>0</v>
      </c>
      <c r="E47" s="343">
        <v>0</v>
      </c>
      <c r="F47" s="343">
        <v>0</v>
      </c>
      <c r="G47" s="343">
        <v>0</v>
      </c>
      <c r="H47" s="123"/>
      <c r="I47" s="343">
        <v>0</v>
      </c>
      <c r="J47" s="343">
        <v>0</v>
      </c>
      <c r="K47" s="327"/>
      <c r="L47" s="343">
        <f>C47/L$5</f>
        <v>0</v>
      </c>
      <c r="M47" s="343">
        <f>D47/M$5</f>
        <v>0</v>
      </c>
      <c r="N47" s="343">
        <f>E47/N$5</f>
        <v>0</v>
      </c>
      <c r="O47" s="343">
        <f>F47/O$5</f>
        <v>0</v>
      </c>
      <c r="P47" s="315">
        <f t="shared" si="10"/>
        <v>0</v>
      </c>
      <c r="Q47" s="321"/>
      <c r="R47" s="343">
        <f>I47/R$5</f>
        <v>0</v>
      </c>
      <c r="S47" s="343">
        <f>J47/S$5</f>
        <v>0</v>
      </c>
    </row>
    <row r="48" spans="1:19" s="3" customFormat="1" ht="15.6" x14ac:dyDescent="0.3">
      <c r="A48" s="38"/>
      <c r="B48" s="354"/>
      <c r="C48" s="333"/>
      <c r="D48" s="333"/>
      <c r="E48" s="333"/>
      <c r="F48" s="333"/>
      <c r="G48" s="333"/>
      <c r="H48" s="123"/>
      <c r="I48" s="334"/>
      <c r="J48" s="334"/>
      <c r="K48" s="333"/>
      <c r="L48" s="333"/>
      <c r="M48" s="333"/>
      <c r="N48" s="333"/>
      <c r="O48" s="333"/>
      <c r="P48" s="315"/>
      <c r="Q48" s="321"/>
      <c r="R48" s="333"/>
      <c r="S48" s="333"/>
    </row>
    <row r="49" spans="2:19" ht="16.2" thickBot="1" x14ac:dyDescent="0.35">
      <c r="B49" s="355" t="str">
        <f>CHOOSE(LanguagePage!$C$194,LanguagePage!$C257,LanguagePage!$D257)</f>
        <v>Прибыль (убыток) за период</v>
      </c>
      <c r="C49" s="344">
        <f>C46+C47</f>
        <v>-104063</v>
      </c>
      <c r="D49" s="344">
        <f>D46+D47</f>
        <v>58916</v>
      </c>
      <c r="E49" s="344">
        <f>E46+E47</f>
        <v>68678</v>
      </c>
      <c r="F49" s="344">
        <f>F46+F47</f>
        <v>61735</v>
      </c>
      <c r="G49" s="344">
        <f>G46+G47</f>
        <v>-77033</v>
      </c>
      <c r="H49" s="123"/>
      <c r="I49" s="345">
        <f>I46+I47</f>
        <v>84415</v>
      </c>
      <c r="J49" s="345">
        <f>J46+J47</f>
        <v>-118667</v>
      </c>
      <c r="K49" s="341"/>
      <c r="L49" s="344">
        <f>L46+L47</f>
        <v>-51399.288748394727</v>
      </c>
      <c r="M49" s="344">
        <f>M46+M47</f>
        <v>31060.733867566352</v>
      </c>
      <c r="N49" s="344">
        <f>N46+N47</f>
        <v>34534.117765374423</v>
      </c>
      <c r="O49" s="344">
        <f>O46+O47</f>
        <v>29138.150752820227</v>
      </c>
      <c r="P49" s="344">
        <f>P46+P47</f>
        <v>-33000.471233346187</v>
      </c>
      <c r="Q49" s="304"/>
      <c r="R49" s="344">
        <f>R46+R47</f>
        <v>39842.828149336943</v>
      </c>
      <c r="S49" s="344">
        <f>S46+S47</f>
        <v>-50836.224992503034</v>
      </c>
    </row>
    <row r="50" spans="2:19" ht="16.2" thickTop="1" x14ac:dyDescent="0.3">
      <c r="B50" s="6"/>
      <c r="C50" s="39"/>
      <c r="D50" s="39"/>
      <c r="E50" s="39"/>
      <c r="F50" s="39"/>
      <c r="G50" s="39"/>
      <c r="H50" s="123"/>
      <c r="I50" s="39"/>
      <c r="J50" s="39"/>
    </row>
  </sheetData>
  <mergeCells count="5">
    <mergeCell ref="B2:I2"/>
    <mergeCell ref="C4:J4"/>
    <mergeCell ref="L4:S4"/>
    <mergeCell ref="I5:J5"/>
    <mergeCell ref="C5:G5"/>
  </mergeCells>
  <hyperlinks>
    <hyperlink ref="B4" location="Contents!A1" display="Contents!A1" xr:uid="{00000000-0004-0000-0400-000000000000}"/>
    <hyperlink ref="S2" location="Contents!A1" display="Contents!A1" xr:uid="{00000000-0004-0000-0400-000001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rgb="FF92D050"/>
  </sheetPr>
  <dimension ref="A1:AB70"/>
  <sheetViews>
    <sheetView showGridLines="0" zoomScale="75" zoomScaleNormal="75" workbookViewId="0">
      <pane ySplit="6" topLeftCell="A7" activePane="bottomLeft" state="frozen"/>
      <selection activeCell="B25" sqref="B25"/>
      <selection pane="bottomLeft"/>
    </sheetView>
  </sheetViews>
  <sheetFormatPr defaultColWidth="9.109375" defaultRowHeight="13.8" x14ac:dyDescent="0.3"/>
  <cols>
    <col min="1" max="1" width="6" style="36" customWidth="1"/>
    <col min="2" max="2" width="50.6640625" style="2" customWidth="1"/>
    <col min="3" max="9" width="10.5546875" style="1" customWidth="1"/>
    <col min="10" max="10" width="3.109375" style="263" customWidth="1"/>
    <col min="11" max="12" width="10.5546875" style="1" customWidth="1"/>
    <col min="13" max="13" width="11" style="36" customWidth="1"/>
    <col min="14" max="20" width="10.5546875" style="1" customWidth="1"/>
    <col min="21" max="21" width="3.109375" style="1" customWidth="1"/>
    <col min="22" max="23" width="10.5546875" style="1" customWidth="1"/>
    <col min="24" max="24" width="9.109375" style="1"/>
    <col min="25" max="25" width="6.6640625" style="1" customWidth="1"/>
    <col min="26" max="16384" width="9.109375" style="1"/>
  </cols>
  <sheetData>
    <row r="1" spans="1:23" ht="14.1" customHeight="1" x14ac:dyDescent="0.3">
      <c r="B1" s="123"/>
      <c r="C1" s="123"/>
      <c r="D1" s="123"/>
      <c r="E1" s="123"/>
      <c r="F1" s="123"/>
      <c r="G1" s="123"/>
      <c r="H1" s="123"/>
      <c r="I1" s="123"/>
      <c r="J1" s="261"/>
      <c r="K1" s="123"/>
      <c r="L1" s="123"/>
    </row>
    <row r="2" spans="1:23" ht="14.1" customHeight="1" x14ac:dyDescent="0.3">
      <c r="B2" s="465" t="str">
        <f>IF(LanguagePage!$C$5=1,LanguagePage!$C$2,LanguagePage!$C$3)</f>
        <v>ОТЧЕТ О ФИНАНСОВОМ ПОЛОЖЕНИИ</v>
      </c>
      <c r="C2" s="465"/>
      <c r="D2" s="465"/>
      <c r="E2" s="465"/>
      <c r="F2" s="223"/>
      <c r="G2" s="249"/>
      <c r="H2" s="259"/>
      <c r="I2" s="295"/>
      <c r="J2" s="262"/>
      <c r="K2" s="259"/>
      <c r="L2" s="295"/>
      <c r="N2" s="27"/>
      <c r="W2" s="211" t="str">
        <f>Contents!$B$2</f>
        <v>СОДЕРЖАНИЕ</v>
      </c>
    </row>
    <row r="3" spans="1:23" ht="14.1" customHeight="1" x14ac:dyDescent="0.3"/>
    <row r="4" spans="1:23" ht="14.1" customHeight="1" x14ac:dyDescent="0.3">
      <c r="B4" s="210" t="str">
        <f>Contents!$B$4</f>
        <v>Выбор языка: РУССКИЙ</v>
      </c>
      <c r="C4" s="474" t="str">
        <f>CHOOSE(LanguagePage!$C$5,LanguagePage!$D$6,LanguagePage!$D$7)</f>
        <v>тыс. BYN</v>
      </c>
      <c r="D4" s="475"/>
      <c r="E4" s="475"/>
      <c r="F4" s="475"/>
      <c r="G4" s="475"/>
      <c r="H4" s="475"/>
      <c r="I4" s="475"/>
      <c r="J4" s="475"/>
      <c r="K4" s="475"/>
      <c r="L4" s="476"/>
      <c r="M4" s="231"/>
      <c r="N4" s="474" t="str">
        <f>CHOOSE(LanguagePage!$C$5,LanguagePage!E6,LanguagePage!E7)</f>
        <v>тыс. USD</v>
      </c>
      <c r="O4" s="475"/>
      <c r="P4" s="475"/>
      <c r="Q4" s="475"/>
      <c r="R4" s="475"/>
      <c r="S4" s="475"/>
      <c r="T4" s="475"/>
      <c r="U4" s="475"/>
      <c r="V4" s="475"/>
      <c r="W4" s="476"/>
    </row>
    <row r="5" spans="1:23" ht="14.1" customHeight="1" x14ac:dyDescent="0.3">
      <c r="C5" s="477" t="s">
        <v>721</v>
      </c>
      <c r="D5" s="477"/>
      <c r="E5" s="477"/>
      <c r="F5" s="477"/>
      <c r="G5" s="477"/>
      <c r="H5" s="477"/>
      <c r="I5" s="477"/>
      <c r="K5" s="471" t="s">
        <v>722</v>
      </c>
      <c r="L5" s="471"/>
      <c r="N5" s="26">
        <v>1.1850000000000001</v>
      </c>
      <c r="O5" s="26">
        <v>1.8569</v>
      </c>
      <c r="P5" s="26">
        <v>1.9584999999999999</v>
      </c>
      <c r="Q5" s="26">
        <v>1.9726999999999999</v>
      </c>
      <c r="R5" s="26">
        <v>2.1598000000000002</v>
      </c>
      <c r="S5" s="26">
        <v>2.1036000000000001</v>
      </c>
      <c r="T5" s="26">
        <v>2.5789</v>
      </c>
      <c r="V5" s="26">
        <f>S5</f>
        <v>2.1036000000000001</v>
      </c>
      <c r="W5" s="26">
        <v>2.5789</v>
      </c>
    </row>
    <row r="6" spans="1:23" ht="14.1" customHeight="1" x14ac:dyDescent="0.3">
      <c r="B6" s="8"/>
      <c r="C6" s="14">
        <f>CHOOSE(LanguagePage!$C$5,LanguagePage!D$9,LanguagePage!D$10)</f>
        <v>2014</v>
      </c>
      <c r="D6" s="14">
        <f>CHOOSE(LanguagePage!$C$5,LanguagePage!E$9,LanguagePage!E$10)</f>
        <v>2015</v>
      </c>
      <c r="E6" s="14">
        <f>CHOOSE(LanguagePage!$C$5,LanguagePage!F$9,LanguagePage!F$10)</f>
        <v>2016</v>
      </c>
      <c r="F6" s="14">
        <f>CHOOSE(LanguagePage!$C$5,LanguagePage!G$9,LanguagePage!G$10)</f>
        <v>2017</v>
      </c>
      <c r="G6" s="14">
        <f>CHOOSE(LanguagePage!$C$5,LanguagePage!H$9,LanguagePage!H$10)</f>
        <v>2018</v>
      </c>
      <c r="H6" s="14">
        <f>CHOOSE(LanguagePage!$C$5,LanguagePage!I$9,LanguagePage!I$10)</f>
        <v>2019</v>
      </c>
      <c r="I6" s="14">
        <f>CHOOSE(LanguagePage!$C$5,LanguagePage!J$9,LanguagePage!J$10)</f>
        <v>2020</v>
      </c>
      <c r="J6" s="264"/>
      <c r="K6" s="255">
        <f>H6</f>
        <v>2019</v>
      </c>
      <c r="L6" s="255">
        <f>I6</f>
        <v>2020</v>
      </c>
      <c r="M6" s="63"/>
      <c r="N6" s="14">
        <f t="shared" ref="N6:T6" si="0">C6</f>
        <v>2014</v>
      </c>
      <c r="O6" s="14">
        <f t="shared" si="0"/>
        <v>2015</v>
      </c>
      <c r="P6" s="14">
        <f t="shared" si="0"/>
        <v>2016</v>
      </c>
      <c r="Q6" s="14">
        <f t="shared" si="0"/>
        <v>2017</v>
      </c>
      <c r="R6" s="14">
        <f t="shared" si="0"/>
        <v>2018</v>
      </c>
      <c r="S6" s="14">
        <f t="shared" si="0"/>
        <v>2019</v>
      </c>
      <c r="T6" s="14">
        <f t="shared" si="0"/>
        <v>2020</v>
      </c>
      <c r="U6" s="264"/>
      <c r="V6" s="255">
        <f>K6</f>
        <v>2019</v>
      </c>
      <c r="W6" s="255">
        <f>L6</f>
        <v>2020</v>
      </c>
    </row>
    <row r="7" spans="1:23" ht="25.95" customHeight="1" x14ac:dyDescent="0.3">
      <c r="A7" s="37"/>
      <c r="B7" s="24" t="str">
        <f>CHOOSE(LanguagePage!$C$5,LanguagePage!$C19,LanguagePage!$D19)</f>
        <v>АКТИВЫ</v>
      </c>
      <c r="C7" s="16"/>
      <c r="D7" s="16"/>
      <c r="E7" s="16"/>
      <c r="F7" s="16"/>
      <c r="G7" s="16"/>
      <c r="H7" s="16"/>
      <c r="I7" s="16"/>
      <c r="J7" s="285"/>
      <c r="K7" s="16"/>
      <c r="L7" s="16"/>
      <c r="M7" s="16"/>
      <c r="N7" s="16"/>
      <c r="O7" s="16"/>
      <c r="P7" s="16"/>
    </row>
    <row r="8" spans="1:23" ht="11.4" customHeight="1" x14ac:dyDescent="0.3">
      <c r="A8" s="37"/>
      <c r="B8" s="351"/>
      <c r="C8" s="207"/>
      <c r="D8" s="207"/>
      <c r="E8" s="207"/>
      <c r="F8" s="207"/>
      <c r="G8" s="207"/>
      <c r="H8" s="207"/>
      <c r="I8" s="207"/>
      <c r="J8" s="286"/>
      <c r="K8" s="207"/>
      <c r="L8" s="207"/>
      <c r="M8" s="207"/>
      <c r="N8" s="207"/>
      <c r="O8" s="207"/>
      <c r="P8" s="207"/>
    </row>
    <row r="9" spans="1:23" ht="15" customHeight="1" x14ac:dyDescent="0.3">
      <c r="A9" s="37"/>
      <c r="B9" s="281" t="str">
        <f>CHOOSE(LanguagePage!$C$5,LanguagePage!$C22,LanguagePage!$D22)</f>
        <v>Основные средства</v>
      </c>
      <c r="C9" s="308">
        <v>1013889</v>
      </c>
      <c r="D9" s="308">
        <v>1522837</v>
      </c>
      <c r="E9" s="308">
        <v>1458437</v>
      </c>
      <c r="F9" s="308">
        <v>1265214</v>
      </c>
      <c r="G9" s="308">
        <v>1428689</v>
      </c>
      <c r="H9" s="308">
        <v>1302393</v>
      </c>
      <c r="I9" s="308">
        <f>1496954+15274</f>
        <v>1512228</v>
      </c>
      <c r="J9" s="316"/>
      <c r="K9" s="308">
        <v>1278682</v>
      </c>
      <c r="L9" s="308">
        <f>1496954</f>
        <v>1496954</v>
      </c>
      <c r="M9" s="308"/>
      <c r="N9" s="308">
        <f t="shared" ref="N9:T9" si="1">C9/N$5</f>
        <v>855602.5316455696</v>
      </c>
      <c r="O9" s="308">
        <f t="shared" si="1"/>
        <v>820096.39722117502</v>
      </c>
      <c r="P9" s="308">
        <f t="shared" si="1"/>
        <v>744670.41102884861</v>
      </c>
      <c r="Q9" s="308">
        <f t="shared" si="1"/>
        <v>641361.58564404119</v>
      </c>
      <c r="R9" s="308">
        <f t="shared" si="1"/>
        <v>661491.3417909065</v>
      </c>
      <c r="S9" s="308">
        <f t="shared" si="1"/>
        <v>619125.78436965204</v>
      </c>
      <c r="T9" s="308">
        <f t="shared" si="1"/>
        <v>586384.89278374496</v>
      </c>
      <c r="U9" s="304"/>
      <c r="V9" s="308">
        <f>K9/V$5</f>
        <v>607854.154782278</v>
      </c>
      <c r="W9" s="308">
        <f>L9/W$5</f>
        <v>580462.21257125132</v>
      </c>
    </row>
    <row r="10" spans="1:23" ht="15" customHeight="1" x14ac:dyDescent="0.3">
      <c r="A10" s="37"/>
      <c r="B10" s="282" t="str">
        <f>CHOOSE(LanguagePage!$C$5,LanguagePage!$C23,LanguagePage!$D23)</f>
        <v>Права пользования объектами аренды</v>
      </c>
      <c r="C10" s="315">
        <v>0</v>
      </c>
      <c r="D10" s="315">
        <v>0</v>
      </c>
      <c r="E10" s="315">
        <v>0</v>
      </c>
      <c r="F10" s="315">
        <v>0</v>
      </c>
      <c r="G10" s="315">
        <v>0</v>
      </c>
      <c r="H10" s="315">
        <v>0</v>
      </c>
      <c r="I10" s="315">
        <v>0</v>
      </c>
      <c r="J10" s="316"/>
      <c r="K10" s="315">
        <v>343022</v>
      </c>
      <c r="L10" s="315">
        <v>350000</v>
      </c>
      <c r="M10" s="308"/>
      <c r="N10" s="315">
        <f t="shared" ref="N10:N18" si="2">C10/N$5</f>
        <v>0</v>
      </c>
      <c r="O10" s="315">
        <f t="shared" ref="O10:O18" si="3">D10/O$5</f>
        <v>0</v>
      </c>
      <c r="P10" s="315">
        <f t="shared" ref="P10:P18" si="4">E10/P$5</f>
        <v>0</v>
      </c>
      <c r="Q10" s="315">
        <f t="shared" ref="Q10:Q18" si="5">F10/Q$5</f>
        <v>0</v>
      </c>
      <c r="R10" s="315">
        <f t="shared" ref="R10:R18" si="6">G10/R$5</f>
        <v>0</v>
      </c>
      <c r="S10" s="315">
        <f t="shared" ref="S10:S18" si="7">H10/S$5</f>
        <v>0</v>
      </c>
      <c r="T10" s="315">
        <f t="shared" ref="T10:T18" si="8">I10/T$5</f>
        <v>0</v>
      </c>
      <c r="U10" s="304"/>
      <c r="V10" s="315">
        <f t="shared" ref="V10:W10" si="9">K10/V$5</f>
        <v>163064.27077391138</v>
      </c>
      <c r="W10" s="315">
        <f t="shared" si="9"/>
        <v>135716.77847144133</v>
      </c>
    </row>
    <row r="11" spans="1:23" ht="15" customHeight="1" x14ac:dyDescent="0.3">
      <c r="A11" s="37"/>
      <c r="B11" s="282" t="str">
        <f>CHOOSE(LanguagePage!$C$5,LanguagePage!$C24,LanguagePage!$D24)</f>
        <v>Предоплаты за долгосрочные активы</v>
      </c>
      <c r="C11" s="315">
        <v>51201</v>
      </c>
      <c r="D11" s="315">
        <v>38504</v>
      </c>
      <c r="E11" s="315">
        <v>31369</v>
      </c>
      <c r="F11" s="315">
        <v>28970</v>
      </c>
      <c r="G11" s="315">
        <v>28094</v>
      </c>
      <c r="H11" s="315">
        <v>14120</v>
      </c>
      <c r="I11" s="315">
        <v>11873</v>
      </c>
      <c r="J11" s="316"/>
      <c r="K11" s="315">
        <v>14120</v>
      </c>
      <c r="L11" s="315">
        <v>11873</v>
      </c>
      <c r="M11" s="308"/>
      <c r="N11" s="315">
        <f t="shared" si="2"/>
        <v>43207.594936708861</v>
      </c>
      <c r="O11" s="315">
        <f t="shared" si="3"/>
        <v>20735.634659917065</v>
      </c>
      <c r="P11" s="315">
        <f t="shared" si="4"/>
        <v>16016.84962981874</v>
      </c>
      <c r="Q11" s="315">
        <f t="shared" si="5"/>
        <v>14685.456480965175</v>
      </c>
      <c r="R11" s="315">
        <f t="shared" si="6"/>
        <v>13007.685896842298</v>
      </c>
      <c r="S11" s="315">
        <f t="shared" si="7"/>
        <v>6712.3027191481269</v>
      </c>
      <c r="T11" s="315">
        <f t="shared" si="8"/>
        <v>4603.9008879754938</v>
      </c>
      <c r="U11" s="304"/>
      <c r="V11" s="315">
        <f t="shared" ref="V11:W18" si="10">K11/V$5</f>
        <v>6712.3027191481269</v>
      </c>
      <c r="W11" s="315">
        <f t="shared" si="10"/>
        <v>4603.9008879754938</v>
      </c>
    </row>
    <row r="12" spans="1:23" ht="15" customHeight="1" x14ac:dyDescent="0.3">
      <c r="A12" s="37"/>
      <c r="B12" s="282" t="str">
        <f>CHOOSE(LanguagePage!$C$5,LanguagePage!$C25,LanguagePage!$D25)</f>
        <v>Нематериальные активы</v>
      </c>
      <c r="C12" s="315">
        <v>2798</v>
      </c>
      <c r="D12" s="315">
        <v>2301</v>
      </c>
      <c r="E12" s="315">
        <v>5452</v>
      </c>
      <c r="F12" s="315">
        <v>6494</v>
      </c>
      <c r="G12" s="315">
        <v>12213</v>
      </c>
      <c r="H12" s="315">
        <v>16641</v>
      </c>
      <c r="I12" s="315">
        <v>19048</v>
      </c>
      <c r="J12" s="316"/>
      <c r="K12" s="315">
        <v>16641</v>
      </c>
      <c r="L12" s="315">
        <v>19048</v>
      </c>
      <c r="M12" s="308"/>
      <c r="N12" s="315">
        <f t="shared" si="2"/>
        <v>2361.1814345991561</v>
      </c>
      <c r="O12" s="315">
        <f t="shared" si="3"/>
        <v>1239.1620442673272</v>
      </c>
      <c r="P12" s="315">
        <f t="shared" si="4"/>
        <v>2783.763083992852</v>
      </c>
      <c r="Q12" s="315">
        <f t="shared" si="5"/>
        <v>3291.9349115425562</v>
      </c>
      <c r="R12" s="315">
        <f t="shared" si="6"/>
        <v>5654.6902490971379</v>
      </c>
      <c r="S12" s="315">
        <f t="shared" si="7"/>
        <v>7910.7244723331423</v>
      </c>
      <c r="T12" s="315">
        <f t="shared" si="8"/>
        <v>7386.0948466400405</v>
      </c>
      <c r="U12" s="304"/>
      <c r="V12" s="315">
        <f t="shared" si="10"/>
        <v>7910.7244723331423</v>
      </c>
      <c r="W12" s="315">
        <f t="shared" si="10"/>
        <v>7386.0948466400405</v>
      </c>
    </row>
    <row r="13" spans="1:23" ht="15" customHeight="1" x14ac:dyDescent="0.3">
      <c r="A13" s="37"/>
      <c r="B13" s="282" t="str">
        <f>CHOOSE(LanguagePage!$C$5,LanguagePage!$C26,LanguagePage!$D26)</f>
        <v>Гудвил</v>
      </c>
      <c r="C13" s="315">
        <v>8853</v>
      </c>
      <c r="D13" s="315">
        <v>8836</v>
      </c>
      <c r="E13" s="315">
        <v>7410</v>
      </c>
      <c r="F13" s="315">
        <v>7055</v>
      </c>
      <c r="G13" s="315">
        <v>6359</v>
      </c>
      <c r="H13" s="315">
        <v>6265</v>
      </c>
      <c r="I13" s="315">
        <v>6232</v>
      </c>
      <c r="J13" s="316"/>
      <c r="K13" s="315">
        <v>6265</v>
      </c>
      <c r="L13" s="315">
        <v>6232</v>
      </c>
      <c r="M13" s="308"/>
      <c r="N13" s="315">
        <f t="shared" si="2"/>
        <v>7470.8860759493664</v>
      </c>
      <c r="O13" s="315">
        <f t="shared" si="3"/>
        <v>4758.4684151004358</v>
      </c>
      <c r="P13" s="315">
        <f t="shared" si="4"/>
        <v>3783.5077865713556</v>
      </c>
      <c r="Q13" s="315">
        <f t="shared" si="5"/>
        <v>3576.3167232726723</v>
      </c>
      <c r="R13" s="315">
        <f t="shared" si="6"/>
        <v>2944.2540976016294</v>
      </c>
      <c r="S13" s="315">
        <f t="shared" si="7"/>
        <v>2978.2277999619696</v>
      </c>
      <c r="T13" s="315">
        <f t="shared" si="8"/>
        <v>2416.5341812400638</v>
      </c>
      <c r="U13" s="304"/>
      <c r="V13" s="315">
        <f t="shared" si="10"/>
        <v>2978.2277999619696</v>
      </c>
      <c r="W13" s="315">
        <f t="shared" si="10"/>
        <v>2416.5341812400638</v>
      </c>
    </row>
    <row r="14" spans="1:23" ht="15" customHeight="1" x14ac:dyDescent="0.3">
      <c r="A14" s="37"/>
      <c r="B14" s="282" t="str">
        <f>CHOOSE(LanguagePage!$C$5,LanguagePage!$C27,LanguagePage!$D27)</f>
        <v>Производные финансовые инструменты</v>
      </c>
      <c r="C14" s="315">
        <v>0</v>
      </c>
      <c r="D14" s="315">
        <v>0</v>
      </c>
      <c r="E14" s="315">
        <v>0</v>
      </c>
      <c r="F14" s="315">
        <v>0</v>
      </c>
      <c r="G14" s="315">
        <v>0</v>
      </c>
      <c r="H14" s="315">
        <v>15297</v>
      </c>
      <c r="I14" s="315">
        <v>0</v>
      </c>
      <c r="J14" s="316"/>
      <c r="K14" s="315">
        <v>15297</v>
      </c>
      <c r="L14" s="315">
        <v>0</v>
      </c>
      <c r="M14" s="308"/>
      <c r="N14" s="315">
        <f t="shared" si="2"/>
        <v>0</v>
      </c>
      <c r="O14" s="315">
        <f t="shared" si="3"/>
        <v>0</v>
      </c>
      <c r="P14" s="315">
        <f t="shared" si="4"/>
        <v>0</v>
      </c>
      <c r="Q14" s="315">
        <f t="shared" si="5"/>
        <v>0</v>
      </c>
      <c r="R14" s="315">
        <f t="shared" si="6"/>
        <v>0</v>
      </c>
      <c r="S14" s="315">
        <f t="shared" si="7"/>
        <v>7271.8197375926975</v>
      </c>
      <c r="T14" s="315">
        <f t="shared" si="8"/>
        <v>0</v>
      </c>
      <c r="U14" s="304"/>
      <c r="V14" s="315">
        <f t="shared" si="10"/>
        <v>7271.8197375926975</v>
      </c>
      <c r="W14" s="315">
        <f t="shared" si="10"/>
        <v>0</v>
      </c>
    </row>
    <row r="15" spans="1:23" ht="15" customHeight="1" x14ac:dyDescent="0.3">
      <c r="A15" s="37"/>
      <c r="B15" s="282" t="str">
        <f>CHOOSE(LanguagePage!$C$5,LanguagePage!$C28,LanguagePage!$D28)</f>
        <v>Кредиты выданные</v>
      </c>
      <c r="C15" s="315">
        <v>19388</v>
      </c>
      <c r="D15" s="315">
        <v>24305</v>
      </c>
      <c r="E15" s="315">
        <v>35780</v>
      </c>
      <c r="F15" s="315">
        <v>41206</v>
      </c>
      <c r="G15" s="315">
        <v>51036</v>
      </c>
      <c r="H15" s="315">
        <v>57095</v>
      </c>
      <c r="I15" s="315">
        <v>48105</v>
      </c>
      <c r="J15" s="316"/>
      <c r="K15" s="315">
        <v>57095</v>
      </c>
      <c r="L15" s="315">
        <v>48105</v>
      </c>
      <c r="M15" s="308"/>
      <c r="N15" s="315">
        <f t="shared" si="2"/>
        <v>16361.181434599155</v>
      </c>
      <c r="O15" s="315">
        <f t="shared" si="3"/>
        <v>13089.01933329743</v>
      </c>
      <c r="P15" s="315">
        <f t="shared" si="4"/>
        <v>18269.083482256829</v>
      </c>
      <c r="Q15" s="315">
        <f t="shared" si="5"/>
        <v>20888.122877274804</v>
      </c>
      <c r="R15" s="315">
        <f t="shared" si="6"/>
        <v>23629.965737568291</v>
      </c>
      <c r="S15" s="315">
        <f t="shared" si="7"/>
        <v>27141.56683780186</v>
      </c>
      <c r="T15" s="315">
        <f t="shared" si="8"/>
        <v>18653.301795339099</v>
      </c>
      <c r="U15" s="304"/>
      <c r="V15" s="315">
        <f t="shared" si="10"/>
        <v>27141.56683780186</v>
      </c>
      <c r="W15" s="315">
        <f t="shared" si="10"/>
        <v>18653.301795339099</v>
      </c>
    </row>
    <row r="16" spans="1:23" ht="15" customHeight="1" x14ac:dyDescent="0.3">
      <c r="A16" s="37"/>
      <c r="B16" s="282" t="str">
        <f>CHOOSE(LanguagePage!$C$5,LanguagePage!$C29,LanguagePage!$D29)</f>
        <v>НДС к возмещению</v>
      </c>
      <c r="C16" s="315">
        <v>0</v>
      </c>
      <c r="D16" s="315">
        <v>0</v>
      </c>
      <c r="E16" s="315">
        <v>0</v>
      </c>
      <c r="F16" s="315">
        <v>7994</v>
      </c>
      <c r="G16" s="315">
        <v>12575</v>
      </c>
      <c r="H16" s="315">
        <v>3685</v>
      </c>
      <c r="I16" s="315">
        <v>2096</v>
      </c>
      <c r="J16" s="316"/>
      <c r="K16" s="315">
        <v>3685</v>
      </c>
      <c r="L16" s="315">
        <v>2096</v>
      </c>
      <c r="M16" s="308"/>
      <c r="N16" s="315">
        <f t="shared" si="2"/>
        <v>0</v>
      </c>
      <c r="O16" s="315">
        <f t="shared" si="3"/>
        <v>0</v>
      </c>
      <c r="P16" s="315">
        <f t="shared" si="4"/>
        <v>0</v>
      </c>
      <c r="Q16" s="315">
        <f t="shared" si="5"/>
        <v>4052.3140872915296</v>
      </c>
      <c r="R16" s="315">
        <f t="shared" si="6"/>
        <v>5822.2983609593475</v>
      </c>
      <c r="S16" s="315">
        <f t="shared" si="7"/>
        <v>1751.7588895227229</v>
      </c>
      <c r="T16" s="315">
        <f t="shared" si="8"/>
        <v>812.74962193183137</v>
      </c>
      <c r="U16" s="304"/>
      <c r="V16" s="315">
        <f t="shared" si="10"/>
        <v>1751.7588895227229</v>
      </c>
      <c r="W16" s="315">
        <f t="shared" si="10"/>
        <v>812.74962193183137</v>
      </c>
    </row>
    <row r="17" spans="1:28" ht="15" customHeight="1" x14ac:dyDescent="0.3">
      <c r="A17" s="37"/>
      <c r="B17" s="282" t="str">
        <f>CHOOSE(LanguagePage!$C$5,LanguagePage!$C30,LanguagePage!$D30)</f>
        <v>Отложенные налоговые активы</v>
      </c>
      <c r="C17" s="315">
        <v>259</v>
      </c>
      <c r="D17" s="315">
        <v>32904</v>
      </c>
      <c r="E17" s="315">
        <v>61089</v>
      </c>
      <c r="F17" s="315">
        <v>88961</v>
      </c>
      <c r="G17" s="315">
        <v>51172</v>
      </c>
      <c r="H17" s="315">
        <v>18080.38</v>
      </c>
      <c r="I17" s="315">
        <f>31580-25683-1</f>
        <v>5896</v>
      </c>
      <c r="J17" s="316"/>
      <c r="K17" s="315">
        <v>25921</v>
      </c>
      <c r="L17" s="315">
        <f>31580</f>
        <v>31580</v>
      </c>
      <c r="M17" s="308"/>
      <c r="N17" s="315">
        <f t="shared" si="2"/>
        <v>218.56540084388186</v>
      </c>
      <c r="O17" s="315">
        <f t="shared" si="3"/>
        <v>17719.85567343422</v>
      </c>
      <c r="P17" s="315">
        <f t="shared" si="4"/>
        <v>31191.728363543531</v>
      </c>
      <c r="Q17" s="315">
        <f t="shared" si="5"/>
        <v>45096.061235869623</v>
      </c>
      <c r="R17" s="315">
        <f t="shared" si="6"/>
        <v>23692.93453097509</v>
      </c>
      <c r="S17" s="315">
        <f t="shared" si="7"/>
        <v>8594.9705267161062</v>
      </c>
      <c r="T17" s="315">
        <f t="shared" si="8"/>
        <v>2286.24607390748</v>
      </c>
      <c r="U17" s="304"/>
      <c r="V17" s="315">
        <f t="shared" si="10"/>
        <v>12322.209545540976</v>
      </c>
      <c r="W17" s="315">
        <f t="shared" si="10"/>
        <v>12245.531040366048</v>
      </c>
    </row>
    <row r="18" spans="1:28" ht="15" customHeight="1" x14ac:dyDescent="0.3">
      <c r="A18" s="37"/>
      <c r="B18" s="282" t="str">
        <f>CHOOSE(LanguagePage!$C$5,LanguagePage!$C31,LanguagePage!$D31)</f>
        <v>Прочие инвестиции</v>
      </c>
      <c r="C18" s="315">
        <v>6392</v>
      </c>
      <c r="D18" s="315">
        <v>2777</v>
      </c>
      <c r="E18" s="315">
        <v>2692</v>
      </c>
      <c r="F18" s="315">
        <v>816</v>
      </c>
      <c r="G18" s="315">
        <v>1613</v>
      </c>
      <c r="H18" s="315">
        <v>636</v>
      </c>
      <c r="I18" s="315">
        <v>0</v>
      </c>
      <c r="J18" s="316"/>
      <c r="K18" s="315">
        <v>636</v>
      </c>
      <c r="L18" s="315">
        <v>0</v>
      </c>
      <c r="M18" s="308"/>
      <c r="N18" s="315">
        <f t="shared" si="2"/>
        <v>5394.0928270042195</v>
      </c>
      <c r="O18" s="315">
        <f t="shared" si="3"/>
        <v>1495.5032581183693</v>
      </c>
      <c r="P18" s="315">
        <f t="shared" si="4"/>
        <v>1374.5213173346949</v>
      </c>
      <c r="Q18" s="315">
        <f t="shared" si="5"/>
        <v>413.64627160744158</v>
      </c>
      <c r="R18" s="315">
        <f t="shared" si="6"/>
        <v>746.82841003796648</v>
      </c>
      <c r="S18" s="315">
        <f t="shared" si="7"/>
        <v>302.33884768967482</v>
      </c>
      <c r="T18" s="315">
        <f t="shared" si="8"/>
        <v>0</v>
      </c>
      <c r="U18" s="304"/>
      <c r="V18" s="315">
        <f t="shared" si="10"/>
        <v>302.33884768967482</v>
      </c>
      <c r="W18" s="315">
        <f t="shared" si="10"/>
        <v>0</v>
      </c>
    </row>
    <row r="19" spans="1:28" ht="15" customHeight="1" x14ac:dyDescent="0.3">
      <c r="A19" s="37"/>
      <c r="B19" s="368" t="str">
        <f>CHOOSE(LanguagePage!$C$5,LanguagePage!$C33,LanguagePage!$D33)</f>
        <v>Итого долгосрочные активы</v>
      </c>
      <c r="C19" s="356">
        <f>SUM(C9:C18)</f>
        <v>1102780</v>
      </c>
      <c r="D19" s="356">
        <f>SUM(D9:D18)</f>
        <v>1632464</v>
      </c>
      <c r="E19" s="356">
        <f>SUM(E9:E18)</f>
        <v>1602229</v>
      </c>
      <c r="F19" s="356">
        <f>SUM(F9:F18)</f>
        <v>1446710</v>
      </c>
      <c r="G19" s="356">
        <f>SUM(G9:G18)</f>
        <v>1591751</v>
      </c>
      <c r="H19" s="356">
        <f t="shared" ref="H19:L19" si="11">SUM(H9:H18)</f>
        <v>1434212.38</v>
      </c>
      <c r="I19" s="356">
        <f t="shared" si="11"/>
        <v>1605478</v>
      </c>
      <c r="J19" s="316"/>
      <c r="K19" s="356">
        <f t="shared" si="11"/>
        <v>1761364</v>
      </c>
      <c r="L19" s="356">
        <f t="shared" si="11"/>
        <v>1965888</v>
      </c>
      <c r="M19" s="325"/>
      <c r="N19" s="356">
        <f t="shared" ref="N19:S19" si="12">SUM(N9:N18)</f>
        <v>930616.03375527414</v>
      </c>
      <c r="O19" s="356">
        <f t="shared" si="12"/>
        <v>879134.04060530988</v>
      </c>
      <c r="P19" s="356">
        <f t="shared" si="12"/>
        <v>818089.86469236668</v>
      </c>
      <c r="Q19" s="356">
        <f t="shared" si="12"/>
        <v>733365.43823186494</v>
      </c>
      <c r="R19" s="356">
        <f t="shared" si="12"/>
        <v>736989.99907398829</v>
      </c>
      <c r="S19" s="356">
        <f t="shared" si="12"/>
        <v>681789.49420041824</v>
      </c>
      <c r="T19" s="356">
        <f t="shared" ref="T19" si="13">SUM(T9:T18)</f>
        <v>622543.72019077884</v>
      </c>
      <c r="U19" s="304"/>
      <c r="V19" s="356">
        <f>SUM(V9:V18)</f>
        <v>837309.37440578046</v>
      </c>
      <c r="W19" s="356">
        <f>SUM(W9:W18)</f>
        <v>762297.10341618513</v>
      </c>
    </row>
    <row r="20" spans="1:28" x14ac:dyDescent="0.3">
      <c r="A20" s="37"/>
      <c r="B20" s="351"/>
      <c r="C20" s="325"/>
      <c r="D20" s="325"/>
      <c r="E20" s="325"/>
      <c r="F20" s="325"/>
      <c r="G20" s="325"/>
      <c r="H20" s="325"/>
      <c r="I20" s="325"/>
      <c r="J20" s="326"/>
      <c r="K20" s="325"/>
      <c r="L20" s="325"/>
      <c r="M20" s="325"/>
      <c r="N20" s="325"/>
      <c r="O20" s="325"/>
      <c r="P20" s="325"/>
      <c r="Q20" s="304"/>
      <c r="R20" s="304"/>
      <c r="S20" s="304"/>
      <c r="T20" s="304"/>
      <c r="U20" s="304"/>
      <c r="V20" s="304"/>
      <c r="W20" s="304"/>
      <c r="Y20" s="2"/>
      <c r="Z20" s="7"/>
      <c r="AA20" s="2"/>
      <c r="AB20" s="2"/>
    </row>
    <row r="21" spans="1:28" x14ac:dyDescent="0.3">
      <c r="A21" s="37"/>
      <c r="B21" s="281" t="str">
        <f>CHOOSE(LanguagePage!$C$5,LanguagePage!$C36,LanguagePage!$D36)</f>
        <v>Запасы</v>
      </c>
      <c r="C21" s="308">
        <v>244294</v>
      </c>
      <c r="D21" s="308">
        <v>211488</v>
      </c>
      <c r="E21" s="308">
        <v>237830</v>
      </c>
      <c r="F21" s="308">
        <v>299673</v>
      </c>
      <c r="G21" s="308">
        <v>416105</v>
      </c>
      <c r="H21" s="308">
        <v>408999</v>
      </c>
      <c r="I21" s="308">
        <v>488112</v>
      </c>
      <c r="J21" s="316"/>
      <c r="K21" s="308">
        <v>408999</v>
      </c>
      <c r="L21" s="308">
        <v>488112</v>
      </c>
      <c r="M21" s="308"/>
      <c r="N21" s="308">
        <f t="shared" ref="N21:N29" si="14">C21/N$5</f>
        <v>206155.27426160336</v>
      </c>
      <c r="O21" s="308">
        <f t="shared" ref="O21:O29" si="15">D21/O$5</f>
        <v>113893.04755237223</v>
      </c>
      <c r="P21" s="308">
        <f t="shared" ref="P21:P29" si="16">E21/P$5</f>
        <v>121434.77150880777</v>
      </c>
      <c r="Q21" s="308">
        <f t="shared" ref="Q21:Q29" si="17">F21/Q$5</f>
        <v>151910.07248948142</v>
      </c>
      <c r="R21" s="308">
        <f t="shared" ref="R21:R29" si="18">G21/R$5</f>
        <v>192659.04250393555</v>
      </c>
      <c r="S21" s="308">
        <f t="shared" ref="S21:T29" si="19">H21/S$5</f>
        <v>194428.12321734169</v>
      </c>
      <c r="T21" s="308">
        <f t="shared" si="19"/>
        <v>189271.39478072047</v>
      </c>
      <c r="U21" s="304"/>
      <c r="V21" s="308">
        <f t="shared" ref="V21:W29" si="20">K21/V$5</f>
        <v>194428.12321734169</v>
      </c>
      <c r="W21" s="308">
        <f t="shared" si="20"/>
        <v>189271.39478072047</v>
      </c>
      <c r="Y21" s="6"/>
    </row>
    <row r="22" spans="1:28" s="3" customFormat="1" x14ac:dyDescent="0.3">
      <c r="A22" s="20"/>
      <c r="B22" s="282" t="str">
        <f>CHOOSE(LanguagePage!$C$5,LanguagePage!$C37,LanguagePage!$D37)</f>
        <v>Торговая и прочая дебиторская задолженность</v>
      </c>
      <c r="C22" s="315">
        <v>27807</v>
      </c>
      <c r="D22" s="315">
        <v>77801</v>
      </c>
      <c r="E22" s="315">
        <v>83524</v>
      </c>
      <c r="F22" s="315">
        <v>105359</v>
      </c>
      <c r="G22" s="315">
        <v>84387</v>
      </c>
      <c r="H22" s="315">
        <v>65002</v>
      </c>
      <c r="I22" s="315">
        <v>91756</v>
      </c>
      <c r="J22" s="316"/>
      <c r="K22" s="315">
        <v>65002</v>
      </c>
      <c r="L22" s="315">
        <v>91756</v>
      </c>
      <c r="M22" s="308"/>
      <c r="N22" s="315">
        <f t="shared" si="14"/>
        <v>23465.822784810127</v>
      </c>
      <c r="O22" s="315">
        <f t="shared" si="15"/>
        <v>41898.32516559858</v>
      </c>
      <c r="P22" s="315">
        <f t="shared" si="16"/>
        <v>42646.923666070972</v>
      </c>
      <c r="Q22" s="315">
        <f t="shared" si="17"/>
        <v>53408.526385157398</v>
      </c>
      <c r="R22" s="315">
        <f t="shared" si="18"/>
        <v>39071.673303083619</v>
      </c>
      <c r="S22" s="315">
        <f t="shared" si="19"/>
        <v>30900.361285415474</v>
      </c>
      <c r="T22" s="315">
        <f t="shared" si="19"/>
        <v>35579.510644073052</v>
      </c>
      <c r="U22" s="321"/>
      <c r="V22" s="315">
        <f t="shared" si="20"/>
        <v>30900.361285415474</v>
      </c>
      <c r="W22" s="315">
        <f t="shared" si="20"/>
        <v>35579.510644073052</v>
      </c>
    </row>
    <row r="23" spans="1:28" s="5" customFormat="1" x14ac:dyDescent="0.3">
      <c r="A23" s="20"/>
      <c r="B23" s="282" t="str">
        <f>CHOOSE(LanguagePage!$C$5,LanguagePage!$C38,LanguagePage!$D38)</f>
        <v>Предоплаты</v>
      </c>
      <c r="C23" s="315">
        <v>31420</v>
      </c>
      <c r="D23" s="315">
        <v>19717</v>
      </c>
      <c r="E23" s="315">
        <v>42626</v>
      </c>
      <c r="F23" s="315">
        <v>41276</v>
      </c>
      <c r="G23" s="315">
        <v>52567</v>
      </c>
      <c r="H23" s="315">
        <v>50353</v>
      </c>
      <c r="I23" s="315">
        <f>71225-26</f>
        <v>71199</v>
      </c>
      <c r="J23" s="316"/>
      <c r="K23" s="315">
        <v>42500</v>
      </c>
      <c r="L23" s="315">
        <f>71225</f>
        <v>71225</v>
      </c>
      <c r="M23" s="308"/>
      <c r="N23" s="315">
        <f t="shared" si="14"/>
        <v>26514.767932489449</v>
      </c>
      <c r="O23" s="315">
        <f t="shared" si="15"/>
        <v>10618.234692228983</v>
      </c>
      <c r="P23" s="315">
        <f t="shared" si="16"/>
        <v>21764.615777380648</v>
      </c>
      <c r="Q23" s="315">
        <f t="shared" si="17"/>
        <v>20923.607238809753</v>
      </c>
      <c r="R23" s="315">
        <f t="shared" si="18"/>
        <v>24338.827669228631</v>
      </c>
      <c r="S23" s="315">
        <f t="shared" si="19"/>
        <v>23936.584902072635</v>
      </c>
      <c r="T23" s="315">
        <f t="shared" si="19"/>
        <v>27608.282601109</v>
      </c>
      <c r="U23" s="332"/>
      <c r="V23" s="315">
        <f t="shared" si="20"/>
        <v>20203.460733979842</v>
      </c>
      <c r="W23" s="315">
        <f t="shared" si="20"/>
        <v>27618.364418938309</v>
      </c>
    </row>
    <row r="24" spans="1:28" s="3" customFormat="1" x14ac:dyDescent="0.3">
      <c r="A24" s="20"/>
      <c r="B24" s="282" t="str">
        <f>CHOOSE(LanguagePage!$C$5,LanguagePage!$C39,LanguagePage!$D39)</f>
        <v>НДС к возмещению</v>
      </c>
      <c r="C24" s="315">
        <v>39100</v>
      </c>
      <c r="D24" s="315">
        <v>26367</v>
      </c>
      <c r="E24" s="315">
        <v>31762</v>
      </c>
      <c r="F24" s="315">
        <v>21003</v>
      </c>
      <c r="G24" s="315">
        <v>23447</v>
      </c>
      <c r="H24" s="315">
        <v>17322</v>
      </c>
      <c r="I24" s="315">
        <v>3543</v>
      </c>
      <c r="J24" s="316"/>
      <c r="K24" s="315">
        <v>17322</v>
      </c>
      <c r="L24" s="315">
        <v>3543</v>
      </c>
      <c r="M24" s="308"/>
      <c r="N24" s="315">
        <f t="shared" si="14"/>
        <v>32995.780590717295</v>
      </c>
      <c r="O24" s="315">
        <f t="shared" si="15"/>
        <v>14199.472238677365</v>
      </c>
      <c r="P24" s="315">
        <f t="shared" si="16"/>
        <v>16217.51340311463</v>
      </c>
      <c r="Q24" s="315">
        <f t="shared" si="17"/>
        <v>10646.829218837127</v>
      </c>
      <c r="R24" s="315">
        <f t="shared" si="18"/>
        <v>10856.097786832113</v>
      </c>
      <c r="S24" s="315">
        <f t="shared" si="19"/>
        <v>8234.4552196235018</v>
      </c>
      <c r="T24" s="315">
        <f t="shared" si="19"/>
        <v>1373.8415603551903</v>
      </c>
      <c r="U24" s="321"/>
      <c r="V24" s="315">
        <f t="shared" si="20"/>
        <v>8234.4552196235018</v>
      </c>
      <c r="W24" s="315">
        <f t="shared" si="20"/>
        <v>1373.8415603551903</v>
      </c>
    </row>
    <row r="25" spans="1:28" s="3" customFormat="1" x14ac:dyDescent="0.3">
      <c r="A25" s="20"/>
      <c r="B25" s="282" t="str">
        <f>CHOOSE(LanguagePage!$C$5,LanguagePage!$C40,LanguagePage!$D40)</f>
        <v>Активы по текущему налогу на прибыль</v>
      </c>
      <c r="C25" s="315">
        <v>432</v>
      </c>
      <c r="D25" s="315">
        <v>119</v>
      </c>
      <c r="E25" s="315">
        <v>1351</v>
      </c>
      <c r="F25" s="315">
        <v>708</v>
      </c>
      <c r="G25" s="315">
        <v>1139</v>
      </c>
      <c r="H25" s="315">
        <v>6508</v>
      </c>
      <c r="I25" s="315">
        <v>2335</v>
      </c>
      <c r="J25" s="316"/>
      <c r="K25" s="315">
        <v>6508</v>
      </c>
      <c r="L25" s="315">
        <v>2335</v>
      </c>
      <c r="M25" s="308"/>
      <c r="N25" s="315">
        <f t="shared" si="14"/>
        <v>364.55696202531647</v>
      </c>
      <c r="O25" s="315">
        <f t="shared" si="15"/>
        <v>64.085303462760521</v>
      </c>
      <c r="P25" s="315">
        <f t="shared" si="16"/>
        <v>689.81363288230796</v>
      </c>
      <c r="Q25" s="315">
        <f t="shared" si="17"/>
        <v>358.89897095351552</v>
      </c>
      <c r="R25" s="315">
        <f t="shared" si="18"/>
        <v>527.36364478192422</v>
      </c>
      <c r="S25" s="315">
        <f t="shared" si="19"/>
        <v>3093.7440578056662</v>
      </c>
      <c r="T25" s="315">
        <f t="shared" si="19"/>
        <v>905.42479351661564</v>
      </c>
      <c r="U25" s="321"/>
      <c r="V25" s="315">
        <f t="shared" si="20"/>
        <v>3093.7440578056662</v>
      </c>
      <c r="W25" s="315">
        <f t="shared" si="20"/>
        <v>905.42479351661564</v>
      </c>
    </row>
    <row r="26" spans="1:28" s="3" customFormat="1" x14ac:dyDescent="0.3">
      <c r="A26" s="20"/>
      <c r="B26" s="282" t="str">
        <f>CHOOSE(LanguagePage!$C$5,LanguagePage!$C41,LanguagePage!$D41)</f>
        <v>Кредиты выданные</v>
      </c>
      <c r="C26" s="315">
        <v>21510</v>
      </c>
      <c r="D26" s="315">
        <v>23677</v>
      </c>
      <c r="E26" s="315">
        <v>15519</v>
      </c>
      <c r="F26" s="315">
        <v>11412</v>
      </c>
      <c r="G26" s="315">
        <v>27608</v>
      </c>
      <c r="H26" s="315">
        <v>19875</v>
      </c>
      <c r="I26" s="315">
        <v>10744</v>
      </c>
      <c r="J26" s="316"/>
      <c r="K26" s="315">
        <v>19875</v>
      </c>
      <c r="L26" s="315">
        <v>10744</v>
      </c>
      <c r="M26" s="308"/>
      <c r="N26" s="315">
        <f t="shared" si="14"/>
        <v>18151.898734177215</v>
      </c>
      <c r="O26" s="315">
        <f t="shared" si="15"/>
        <v>12750.821261241856</v>
      </c>
      <c r="P26" s="315">
        <f t="shared" si="16"/>
        <v>7923.9213683941798</v>
      </c>
      <c r="Q26" s="315">
        <f t="shared" si="17"/>
        <v>5784.964769098191</v>
      </c>
      <c r="R26" s="315">
        <f t="shared" si="18"/>
        <v>12782.665061579775</v>
      </c>
      <c r="S26" s="315">
        <f t="shared" si="19"/>
        <v>9448.0889903023381</v>
      </c>
      <c r="T26" s="315">
        <f t="shared" si="19"/>
        <v>4166.1173368490445</v>
      </c>
      <c r="U26" s="321"/>
      <c r="V26" s="315">
        <f t="shared" si="20"/>
        <v>9448.0889903023381</v>
      </c>
      <c r="W26" s="315">
        <f t="shared" si="20"/>
        <v>4166.1173368490445</v>
      </c>
    </row>
    <row r="27" spans="1:28" s="3" customFormat="1" x14ac:dyDescent="0.3">
      <c r="A27" s="20"/>
      <c r="B27" s="282" t="str">
        <f>CHOOSE(LanguagePage!$C$5,LanguagePage!$C42,LanguagePage!$D42)</f>
        <v>Денежные средства и их эквиваленты</v>
      </c>
      <c r="C27" s="315">
        <v>53622</v>
      </c>
      <c r="D27" s="315">
        <v>59063</v>
      </c>
      <c r="E27" s="315">
        <v>74511</v>
      </c>
      <c r="F27" s="315">
        <v>174019</v>
      </c>
      <c r="G27" s="315">
        <v>176348</v>
      </c>
      <c r="H27" s="315">
        <v>294522</v>
      </c>
      <c r="I27" s="315">
        <v>184238</v>
      </c>
      <c r="J27" s="316"/>
      <c r="K27" s="315">
        <v>294522</v>
      </c>
      <c r="L27" s="315">
        <v>184238</v>
      </c>
      <c r="M27" s="308"/>
      <c r="N27" s="315">
        <f t="shared" si="14"/>
        <v>45250.6329113924</v>
      </c>
      <c r="O27" s="315">
        <f t="shared" si="15"/>
        <v>31807.313264042223</v>
      </c>
      <c r="P27" s="315">
        <f t="shared" si="16"/>
        <v>38044.932346183305</v>
      </c>
      <c r="Q27" s="315">
        <f t="shared" si="17"/>
        <v>88213.615856440418</v>
      </c>
      <c r="R27" s="315">
        <f t="shared" si="18"/>
        <v>81650.152791925168</v>
      </c>
      <c r="S27" s="315">
        <f t="shared" si="19"/>
        <v>140008.55675984026</v>
      </c>
      <c r="T27" s="315">
        <f t="shared" si="19"/>
        <v>71440.536662918297</v>
      </c>
      <c r="U27" s="321"/>
      <c r="V27" s="315">
        <f t="shared" si="20"/>
        <v>140008.55675984026</v>
      </c>
      <c r="W27" s="315">
        <f t="shared" si="20"/>
        <v>71440.536662918297</v>
      </c>
    </row>
    <row r="28" spans="1:28" s="3" customFormat="1" x14ac:dyDescent="0.3">
      <c r="A28" s="20"/>
      <c r="B28" s="282" t="str">
        <f>CHOOSE(LanguagePage!$C$5,LanguagePage!$C43,LanguagePage!$D43)</f>
        <v>Прочие инвестиции</v>
      </c>
      <c r="C28" s="315">
        <v>301</v>
      </c>
      <c r="D28" s="315">
        <v>0</v>
      </c>
      <c r="E28" s="315">
        <v>17951</v>
      </c>
      <c r="F28" s="315">
        <v>30291</v>
      </c>
      <c r="G28" s="315">
        <v>5530</v>
      </c>
      <c r="H28" s="315">
        <v>3174</v>
      </c>
      <c r="I28" s="315">
        <v>782</v>
      </c>
      <c r="J28" s="316"/>
      <c r="K28" s="315">
        <v>3174</v>
      </c>
      <c r="L28" s="315">
        <v>782</v>
      </c>
      <c r="M28" s="308"/>
      <c r="N28" s="315">
        <f t="shared" si="14"/>
        <v>254.00843881856539</v>
      </c>
      <c r="O28" s="315">
        <f t="shared" si="15"/>
        <v>0</v>
      </c>
      <c r="P28" s="315">
        <f t="shared" si="16"/>
        <v>9165.6880265509317</v>
      </c>
      <c r="Q28" s="315">
        <f t="shared" si="17"/>
        <v>15355.097075074771</v>
      </c>
      <c r="R28" s="315">
        <f t="shared" si="18"/>
        <v>2560.4222613204925</v>
      </c>
      <c r="S28" s="315">
        <f t="shared" si="19"/>
        <v>1508.8419851682829</v>
      </c>
      <c r="T28" s="315">
        <f t="shared" si="19"/>
        <v>303.23005932762032</v>
      </c>
      <c r="U28" s="321"/>
      <c r="V28" s="315">
        <f t="shared" si="20"/>
        <v>1508.8419851682829</v>
      </c>
      <c r="W28" s="315">
        <f t="shared" si="20"/>
        <v>303.23005932762032</v>
      </c>
    </row>
    <row r="29" spans="1:28" s="3" customFormat="1" x14ac:dyDescent="0.3">
      <c r="A29" s="20"/>
      <c r="B29" s="375" t="str">
        <f>CHOOSE(LanguagePage!$C$5,LanguagePage!$C44,LanguagePage!$D44)</f>
        <v>Активы для продажи</v>
      </c>
      <c r="C29" s="322">
        <v>0</v>
      </c>
      <c r="D29" s="322">
        <v>0</v>
      </c>
      <c r="E29" s="322">
        <v>0</v>
      </c>
      <c r="F29" s="322">
        <v>318</v>
      </c>
      <c r="G29" s="322">
        <v>210</v>
      </c>
      <c r="H29" s="322">
        <v>57</v>
      </c>
      <c r="I29" s="322">
        <v>0</v>
      </c>
      <c r="J29" s="316"/>
      <c r="K29" s="322">
        <v>57</v>
      </c>
      <c r="L29" s="322">
        <v>0</v>
      </c>
      <c r="M29" s="308"/>
      <c r="N29" s="322">
        <f t="shared" si="14"/>
        <v>0</v>
      </c>
      <c r="O29" s="322">
        <f t="shared" si="15"/>
        <v>0</v>
      </c>
      <c r="P29" s="322">
        <f t="shared" si="16"/>
        <v>0</v>
      </c>
      <c r="Q29" s="322">
        <f t="shared" si="17"/>
        <v>161.20038525878238</v>
      </c>
      <c r="R29" s="322">
        <f t="shared" si="18"/>
        <v>97.231225113436423</v>
      </c>
      <c r="S29" s="322">
        <f t="shared" si="19"/>
        <v>27.096406160867083</v>
      </c>
      <c r="T29" s="322">
        <f t="shared" si="19"/>
        <v>0</v>
      </c>
      <c r="U29" s="321"/>
      <c r="V29" s="322">
        <f t="shared" si="20"/>
        <v>27.096406160867083</v>
      </c>
      <c r="W29" s="322">
        <f t="shared" si="20"/>
        <v>0</v>
      </c>
    </row>
    <row r="30" spans="1:28" s="3" customFormat="1" x14ac:dyDescent="0.3">
      <c r="A30" s="20"/>
      <c r="B30" s="369" t="str">
        <f>CHOOSE(LanguagePage!$C$5,LanguagePage!$C45,LanguagePage!$D45)</f>
        <v>Итого краткосрочные активы</v>
      </c>
      <c r="C30" s="357">
        <f t="shared" ref="C30:I30" si="21">SUM(C21:C29)</f>
        <v>418486</v>
      </c>
      <c r="D30" s="357">
        <f t="shared" si="21"/>
        <v>418232</v>
      </c>
      <c r="E30" s="357">
        <f t="shared" si="21"/>
        <v>505074</v>
      </c>
      <c r="F30" s="357">
        <f t="shared" si="21"/>
        <v>684059</v>
      </c>
      <c r="G30" s="357">
        <f t="shared" si="21"/>
        <v>787341</v>
      </c>
      <c r="H30" s="357">
        <f t="shared" si="21"/>
        <v>865812</v>
      </c>
      <c r="I30" s="357">
        <f t="shared" si="21"/>
        <v>852709</v>
      </c>
      <c r="J30" s="326"/>
      <c r="K30" s="357">
        <f>SUM(K21:K29)</f>
        <v>857959</v>
      </c>
      <c r="L30" s="357">
        <f>SUM(L21:L29)</f>
        <v>852735</v>
      </c>
      <c r="M30" s="325"/>
      <c r="N30" s="357">
        <f t="shared" ref="N30:S30" si="22">SUM(N21:N29)</f>
        <v>353152.74261603371</v>
      </c>
      <c r="O30" s="357">
        <f t="shared" si="22"/>
        <v>225231.29947762398</v>
      </c>
      <c r="P30" s="357">
        <f t="shared" si="22"/>
        <v>257888.17972938478</v>
      </c>
      <c r="Q30" s="357">
        <f t="shared" si="22"/>
        <v>346762.81238911138</v>
      </c>
      <c r="R30" s="357">
        <f t="shared" si="22"/>
        <v>364543.47624780075</v>
      </c>
      <c r="S30" s="357">
        <f t="shared" si="22"/>
        <v>411585.85282373067</v>
      </c>
      <c r="T30" s="357">
        <f t="shared" ref="T30" si="23">SUM(T21:T29)</f>
        <v>330648.33843886928</v>
      </c>
      <c r="U30" s="321"/>
      <c r="V30" s="357">
        <f>SUM(V21:V29)</f>
        <v>407852.72865563794</v>
      </c>
      <c r="W30" s="357">
        <f>SUM(W21:W29)</f>
        <v>330658.42025669856</v>
      </c>
    </row>
    <row r="31" spans="1:28" s="3" customFormat="1" x14ac:dyDescent="0.3">
      <c r="A31" s="20"/>
      <c r="B31" s="370"/>
      <c r="C31" s="326"/>
      <c r="D31" s="326"/>
      <c r="E31" s="326"/>
      <c r="F31" s="326"/>
      <c r="G31" s="326"/>
      <c r="H31" s="326"/>
      <c r="I31" s="326"/>
      <c r="J31" s="326"/>
      <c r="K31" s="326"/>
      <c r="L31" s="326"/>
      <c r="M31" s="325"/>
      <c r="N31" s="326"/>
      <c r="O31" s="326"/>
      <c r="P31" s="326"/>
      <c r="Q31" s="358"/>
      <c r="R31" s="358"/>
      <c r="S31" s="358"/>
      <c r="T31" s="358"/>
      <c r="U31" s="321"/>
      <c r="V31" s="358"/>
      <c r="W31" s="358"/>
    </row>
    <row r="32" spans="1:28" s="3" customFormat="1" ht="14.4" thickBot="1" x14ac:dyDescent="0.35">
      <c r="A32" s="20"/>
      <c r="B32" s="371" t="str">
        <f>CHOOSE(LanguagePage!$C$5,LanguagePage!$C47,LanguagePage!$D47)</f>
        <v>ИТОГО АКТИВЫ</v>
      </c>
      <c r="C32" s="359">
        <f t="shared" ref="C32:I32" si="24">C30+C19</f>
        <v>1521266</v>
      </c>
      <c r="D32" s="359">
        <f t="shared" si="24"/>
        <v>2050696</v>
      </c>
      <c r="E32" s="359">
        <f t="shared" si="24"/>
        <v>2107303</v>
      </c>
      <c r="F32" s="359">
        <f t="shared" si="24"/>
        <v>2130769</v>
      </c>
      <c r="G32" s="359">
        <f t="shared" si="24"/>
        <v>2379092</v>
      </c>
      <c r="H32" s="359">
        <f t="shared" si="24"/>
        <v>2300024.38</v>
      </c>
      <c r="I32" s="359">
        <f t="shared" si="24"/>
        <v>2458187</v>
      </c>
      <c r="J32" s="326"/>
      <c r="K32" s="359">
        <f>K30+K19</f>
        <v>2619323</v>
      </c>
      <c r="L32" s="359">
        <f>L30+L19</f>
        <v>2818623</v>
      </c>
      <c r="M32" s="325"/>
      <c r="N32" s="359">
        <f t="shared" ref="N32:S32" si="25">N30+N19</f>
        <v>1283768.7763713079</v>
      </c>
      <c r="O32" s="359">
        <f t="shared" si="25"/>
        <v>1104365.3400829339</v>
      </c>
      <c r="P32" s="359">
        <f t="shared" si="25"/>
        <v>1075978.0444217515</v>
      </c>
      <c r="Q32" s="359">
        <f t="shared" si="25"/>
        <v>1080128.2506209763</v>
      </c>
      <c r="R32" s="359">
        <f t="shared" si="25"/>
        <v>1101533.475321789</v>
      </c>
      <c r="S32" s="359">
        <f t="shared" si="25"/>
        <v>1093375.3470241488</v>
      </c>
      <c r="T32" s="359">
        <f t="shared" ref="T32" si="26">T30+T19</f>
        <v>953192.05862964806</v>
      </c>
      <c r="U32" s="321"/>
      <c r="V32" s="359">
        <f>V30+V19</f>
        <v>1245162.1030614185</v>
      </c>
      <c r="W32" s="359">
        <f>W30+W19</f>
        <v>1092955.5236728836</v>
      </c>
    </row>
    <row r="33" spans="1:23" s="3" customFormat="1" ht="14.4" thickTop="1" x14ac:dyDescent="0.3">
      <c r="A33" s="20"/>
      <c r="B33" s="370"/>
      <c r="C33" s="326"/>
      <c r="D33" s="326"/>
      <c r="E33" s="326"/>
      <c r="F33" s="326"/>
      <c r="G33" s="326"/>
      <c r="H33" s="326"/>
      <c r="I33" s="326"/>
      <c r="J33" s="326"/>
      <c r="K33" s="326"/>
      <c r="L33" s="326"/>
      <c r="M33" s="325"/>
      <c r="N33" s="326"/>
      <c r="O33" s="326"/>
      <c r="P33" s="326"/>
      <c r="Q33" s="358"/>
      <c r="R33" s="358"/>
      <c r="S33" s="358"/>
      <c r="T33" s="358"/>
      <c r="U33" s="321"/>
      <c r="V33" s="321"/>
      <c r="W33" s="321"/>
    </row>
    <row r="34" spans="1:23" s="3" customFormat="1" x14ac:dyDescent="0.3">
      <c r="A34" s="20"/>
      <c r="B34" s="227" t="str">
        <f>CHOOSE(LanguagePage!$C$5,LanguagePage!$C49,LanguagePage!$D49)</f>
        <v>КАПИТАЛ И ОБЯЗАТЕЛЬСТВА</v>
      </c>
      <c r="C34" s="326"/>
      <c r="D34" s="326"/>
      <c r="E34" s="326"/>
      <c r="F34" s="326"/>
      <c r="G34" s="326"/>
      <c r="H34" s="326"/>
      <c r="I34" s="326"/>
      <c r="J34" s="326"/>
      <c r="K34" s="326"/>
      <c r="L34" s="326"/>
      <c r="M34" s="325"/>
      <c r="N34" s="326"/>
      <c r="O34" s="326"/>
      <c r="P34" s="326"/>
      <c r="Q34" s="358"/>
      <c r="R34" s="358"/>
      <c r="S34" s="358"/>
      <c r="T34" s="358"/>
      <c r="U34" s="321"/>
      <c r="V34" s="321"/>
      <c r="W34" s="321"/>
    </row>
    <row r="35" spans="1:23" s="3" customFormat="1" x14ac:dyDescent="0.3">
      <c r="A35" s="20"/>
      <c r="B35" s="370"/>
      <c r="C35" s="326"/>
      <c r="D35" s="326"/>
      <c r="E35" s="326"/>
      <c r="F35" s="326"/>
      <c r="G35" s="326"/>
      <c r="H35" s="326"/>
      <c r="I35" s="326"/>
      <c r="J35" s="326"/>
      <c r="K35" s="326"/>
      <c r="L35" s="326"/>
      <c r="M35" s="325"/>
      <c r="N35" s="326"/>
      <c r="O35" s="326"/>
      <c r="P35" s="326"/>
      <c r="Q35" s="358"/>
      <c r="R35" s="358"/>
      <c r="S35" s="358"/>
      <c r="T35" s="358"/>
      <c r="U35" s="321"/>
      <c r="V35" s="321"/>
      <c r="W35" s="321"/>
    </row>
    <row r="36" spans="1:23" s="3" customFormat="1" x14ac:dyDescent="0.3">
      <c r="A36" s="20"/>
      <c r="B36" s="376" t="str">
        <f>CHOOSE(LanguagePage!$C$5,LanguagePage!$C51,LanguagePage!$D51)</f>
        <v>Уставный капитал</v>
      </c>
      <c r="C36" s="307">
        <v>132242</v>
      </c>
      <c r="D36" s="307">
        <v>132242</v>
      </c>
      <c r="E36" s="307">
        <v>132242</v>
      </c>
      <c r="F36" s="307">
        <v>3</v>
      </c>
      <c r="G36" s="307">
        <v>60</v>
      </c>
      <c r="H36" s="307">
        <v>60</v>
      </c>
      <c r="I36" s="307">
        <v>60</v>
      </c>
      <c r="J36" s="316"/>
      <c r="K36" s="307">
        <v>60</v>
      </c>
      <c r="L36" s="307">
        <v>60</v>
      </c>
      <c r="M36" s="308"/>
      <c r="N36" s="307">
        <f t="shared" ref="N36:T39" si="27">C36/N$5</f>
        <v>111596.62447257384</v>
      </c>
      <c r="O36" s="307">
        <f t="shared" si="27"/>
        <v>71216.543701868708</v>
      </c>
      <c r="P36" s="307">
        <f t="shared" si="27"/>
        <v>67522.08322695941</v>
      </c>
      <c r="Q36" s="307">
        <f t="shared" si="27"/>
        <v>1.520758351497947</v>
      </c>
      <c r="R36" s="307">
        <f t="shared" si="27"/>
        <v>27.780350032410407</v>
      </c>
      <c r="S36" s="307">
        <f t="shared" si="27"/>
        <v>28.522532800912717</v>
      </c>
      <c r="T36" s="307">
        <f t="shared" si="27"/>
        <v>23.265733452247083</v>
      </c>
      <c r="U36" s="321"/>
      <c r="V36" s="307">
        <f t="shared" ref="V36:W39" si="28">K36/V$5</f>
        <v>28.522532800912717</v>
      </c>
      <c r="W36" s="307">
        <f t="shared" si="28"/>
        <v>23.265733452247083</v>
      </c>
    </row>
    <row r="37" spans="1:23" s="3" customFormat="1" x14ac:dyDescent="0.3">
      <c r="A37" s="20"/>
      <c r="B37" s="376" t="str">
        <f>CHOOSE(LanguagePage!$C$5,LanguagePage!$C52,LanguagePage!$D52)</f>
        <v>Эмиссионный доход</v>
      </c>
      <c r="C37" s="307">
        <v>0</v>
      </c>
      <c r="D37" s="307">
        <v>0</v>
      </c>
      <c r="E37" s="307">
        <v>0</v>
      </c>
      <c r="F37" s="307">
        <v>0</v>
      </c>
      <c r="G37" s="307">
        <v>135303</v>
      </c>
      <c r="H37" s="307">
        <v>135303</v>
      </c>
      <c r="I37" s="307">
        <v>135303</v>
      </c>
      <c r="J37" s="316"/>
      <c r="K37" s="307">
        <v>135303</v>
      </c>
      <c r="L37" s="307">
        <v>135303</v>
      </c>
      <c r="M37" s="308"/>
      <c r="N37" s="307">
        <f t="shared" si="27"/>
        <v>0</v>
      </c>
      <c r="O37" s="307">
        <f t="shared" si="27"/>
        <v>0</v>
      </c>
      <c r="P37" s="307">
        <f t="shared" si="27"/>
        <v>0</v>
      </c>
      <c r="Q37" s="307">
        <f t="shared" si="27"/>
        <v>0</v>
      </c>
      <c r="R37" s="307">
        <f t="shared" si="27"/>
        <v>62646.07834058709</v>
      </c>
      <c r="S37" s="307">
        <f t="shared" si="27"/>
        <v>64319.737592698228</v>
      </c>
      <c r="T37" s="307">
        <f t="shared" si="27"/>
        <v>52465.392221489783</v>
      </c>
      <c r="U37" s="321"/>
      <c r="V37" s="307">
        <f t="shared" si="28"/>
        <v>64319.737592698228</v>
      </c>
      <c r="W37" s="307">
        <f t="shared" si="28"/>
        <v>52465.392221489783</v>
      </c>
    </row>
    <row r="38" spans="1:23" s="3" customFormat="1" x14ac:dyDescent="0.3">
      <c r="A38" s="20"/>
      <c r="B38" s="375" t="str">
        <f>CHOOSE(LanguagePage!$C$5,LanguagePage!$C53,LanguagePage!$D53)</f>
        <v>Резерв переоценки</v>
      </c>
      <c r="C38" s="322">
        <v>128888</v>
      </c>
      <c r="D38" s="322">
        <v>416551</v>
      </c>
      <c r="E38" s="322">
        <v>355140</v>
      </c>
      <c r="F38" s="322">
        <v>238088</v>
      </c>
      <c r="G38" s="322">
        <v>340375</v>
      </c>
      <c r="H38" s="322">
        <v>274472</v>
      </c>
      <c r="I38" s="322">
        <v>430010</v>
      </c>
      <c r="J38" s="316"/>
      <c r="K38" s="322">
        <v>274472</v>
      </c>
      <c r="L38" s="322">
        <v>430010</v>
      </c>
      <c r="M38" s="308"/>
      <c r="N38" s="322">
        <f t="shared" si="27"/>
        <v>108766.24472573839</v>
      </c>
      <c r="O38" s="322">
        <f t="shared" si="27"/>
        <v>224326.02724971727</v>
      </c>
      <c r="P38" s="322">
        <f t="shared" si="27"/>
        <v>181332.65254020935</v>
      </c>
      <c r="Q38" s="322">
        <f t="shared" si="27"/>
        <v>120691.43813048107</v>
      </c>
      <c r="R38" s="322">
        <f t="shared" si="27"/>
        <v>157595.61070469487</v>
      </c>
      <c r="S38" s="322">
        <f t="shared" si="27"/>
        <v>130477.27704886859</v>
      </c>
      <c r="T38" s="322">
        <f t="shared" si="27"/>
        <v>166741.63403001279</v>
      </c>
      <c r="U38" s="321"/>
      <c r="V38" s="322">
        <f t="shared" si="28"/>
        <v>130477.27704886859</v>
      </c>
      <c r="W38" s="322">
        <f t="shared" si="28"/>
        <v>166741.63403001279</v>
      </c>
    </row>
    <row r="39" spans="1:23" s="3" customFormat="1" x14ac:dyDescent="0.3">
      <c r="A39" s="20"/>
      <c r="B39" s="375" t="str">
        <f>CHOOSE(LanguagePage!$C$5,LanguagePage!$C54,LanguagePage!$D54)</f>
        <v xml:space="preserve">Накопленный убыток </v>
      </c>
      <c r="C39" s="322">
        <v>3017</v>
      </c>
      <c r="D39" s="322">
        <v>-318675</v>
      </c>
      <c r="E39" s="322">
        <v>-363692</v>
      </c>
      <c r="F39" s="322">
        <v>-148958</v>
      </c>
      <c r="G39" s="322">
        <v>-267388</v>
      </c>
      <c r="H39" s="322">
        <v>-248005.62000000011</v>
      </c>
      <c r="I39" s="322">
        <f>-498907+117001</f>
        <v>-381906</v>
      </c>
      <c r="J39" s="316"/>
      <c r="K39" s="322">
        <v>-283724</v>
      </c>
      <c r="L39" s="322">
        <f>-498907</f>
        <v>-498907</v>
      </c>
      <c r="M39" s="308"/>
      <c r="N39" s="322">
        <f t="shared" si="27"/>
        <v>2545.9915611814345</v>
      </c>
      <c r="O39" s="322">
        <f t="shared" si="27"/>
        <v>-171616.67294953956</v>
      </c>
      <c r="P39" s="322">
        <f t="shared" si="27"/>
        <v>-185699.25963747766</v>
      </c>
      <c r="Q39" s="322">
        <f t="shared" si="27"/>
        <v>-75509.707507477069</v>
      </c>
      <c r="R39" s="322">
        <f t="shared" si="27"/>
        <v>-123802.20390776923</v>
      </c>
      <c r="S39" s="322">
        <f t="shared" si="27"/>
        <v>-117895.80718767831</v>
      </c>
      <c r="T39" s="322">
        <f t="shared" si="27"/>
        <v>-148088.71999689791</v>
      </c>
      <c r="U39" s="321"/>
      <c r="V39" s="322">
        <f t="shared" si="28"/>
        <v>-134875.45160676935</v>
      </c>
      <c r="W39" s="322">
        <f t="shared" si="28"/>
        <v>-193457.28799100392</v>
      </c>
    </row>
    <row r="40" spans="1:23" s="3" customFormat="1" x14ac:dyDescent="0.3">
      <c r="A40" s="20"/>
      <c r="B40" s="372" t="str">
        <f>CHOOSE(LanguagePage!$C$5,LanguagePage!$C55,LanguagePage!$D55)</f>
        <v>Капитал, относимый на собственников Компании</v>
      </c>
      <c r="C40" s="360">
        <f>SUM(C36:C39)</f>
        <v>264147</v>
      </c>
      <c r="D40" s="360">
        <f t="shared" ref="D40:K40" si="29">SUM(D36:D39)</f>
        <v>230118</v>
      </c>
      <c r="E40" s="360">
        <f t="shared" si="29"/>
        <v>123690</v>
      </c>
      <c r="F40" s="360">
        <f t="shared" si="29"/>
        <v>89133</v>
      </c>
      <c r="G40" s="360">
        <f t="shared" si="29"/>
        <v>208350</v>
      </c>
      <c r="H40" s="360">
        <f t="shared" si="29"/>
        <v>161829.37999999989</v>
      </c>
      <c r="I40" s="360">
        <f t="shared" si="29"/>
        <v>183467</v>
      </c>
      <c r="J40" s="361"/>
      <c r="K40" s="360">
        <f t="shared" si="29"/>
        <v>126111</v>
      </c>
      <c r="L40" s="360">
        <f t="shared" ref="L40" si="30">SUM(L36:L39)</f>
        <v>66466</v>
      </c>
      <c r="M40" s="362"/>
      <c r="N40" s="360">
        <f>SUM(N36:N39)</f>
        <v>222908.86075949366</v>
      </c>
      <c r="O40" s="360">
        <f>SUM(O36:O39)</f>
        <v>123925.89800204645</v>
      </c>
      <c r="P40" s="360">
        <f t="shared" ref="P40:Q40" si="31">SUM(P36:P39)</f>
        <v>63155.476129691087</v>
      </c>
      <c r="Q40" s="360">
        <f t="shared" si="31"/>
        <v>45183.251381355498</v>
      </c>
      <c r="R40" s="360">
        <f>SUM(R36:R39)</f>
        <v>96467.265487545141</v>
      </c>
      <c r="S40" s="360">
        <f>SUM(S36:S39)</f>
        <v>76929.729986689417</v>
      </c>
      <c r="T40" s="360">
        <f>SUM(T36:T39)</f>
        <v>71141.571988056909</v>
      </c>
      <c r="U40" s="321"/>
      <c r="V40" s="360">
        <f>SUM(V36:V39)</f>
        <v>59950.085567598377</v>
      </c>
      <c r="W40" s="360">
        <f>SUM(W36:W39)</f>
        <v>25773.003993950901</v>
      </c>
    </row>
    <row r="41" spans="1:23" s="3" customFormat="1" x14ac:dyDescent="0.3">
      <c r="A41" s="20"/>
      <c r="B41" s="375" t="str">
        <f>CHOOSE(LanguagePage!$C$5,LanguagePage!$C56,LanguagePage!$D56)</f>
        <v>Неконтролирующая доля</v>
      </c>
      <c r="C41" s="322">
        <v>186</v>
      </c>
      <c r="D41" s="322">
        <v>272</v>
      </c>
      <c r="E41" s="322">
        <v>346</v>
      </c>
      <c r="F41" s="322">
        <v>301</v>
      </c>
      <c r="G41" s="322">
        <v>340</v>
      </c>
      <c r="H41" s="322">
        <v>238</v>
      </c>
      <c r="I41" s="322">
        <v>97</v>
      </c>
      <c r="J41" s="316"/>
      <c r="K41" s="322">
        <v>238</v>
      </c>
      <c r="L41" s="322">
        <v>97</v>
      </c>
      <c r="M41" s="308"/>
      <c r="N41" s="322">
        <f t="shared" ref="N41:T41" si="32">C41/N$5</f>
        <v>156.96202531645568</v>
      </c>
      <c r="O41" s="322">
        <f t="shared" si="32"/>
        <v>146.48069362916689</v>
      </c>
      <c r="P41" s="322">
        <f t="shared" si="32"/>
        <v>176.66581567526168</v>
      </c>
      <c r="Q41" s="322">
        <f t="shared" si="32"/>
        <v>152.58275460029401</v>
      </c>
      <c r="R41" s="322">
        <f t="shared" si="32"/>
        <v>157.4219835169923</v>
      </c>
      <c r="S41" s="322">
        <f t="shared" si="32"/>
        <v>113.13938011028712</v>
      </c>
      <c r="T41" s="322">
        <f t="shared" si="32"/>
        <v>37.612935747799447</v>
      </c>
      <c r="U41" s="321"/>
      <c r="V41" s="322">
        <f>K41/V$5</f>
        <v>113.13938011028712</v>
      </c>
      <c r="W41" s="322">
        <f>L41/W$5</f>
        <v>37.612935747799447</v>
      </c>
    </row>
    <row r="42" spans="1:23" s="3" customFormat="1" x14ac:dyDescent="0.3">
      <c r="A42" s="20"/>
      <c r="B42" s="369" t="str">
        <f>CHOOSE(LanguagePage!$C$5,LanguagePage!$C58,LanguagePage!$D58)</f>
        <v>Итого капитал</v>
      </c>
      <c r="C42" s="357">
        <f>C40+C41</f>
        <v>264333</v>
      </c>
      <c r="D42" s="357">
        <f t="shared" ref="D42:K42" si="33">D40+D41</f>
        <v>230390</v>
      </c>
      <c r="E42" s="357">
        <f t="shared" si="33"/>
        <v>124036</v>
      </c>
      <c r="F42" s="357">
        <f t="shared" si="33"/>
        <v>89434</v>
      </c>
      <c r="G42" s="357">
        <f t="shared" si="33"/>
        <v>208690</v>
      </c>
      <c r="H42" s="357">
        <f t="shared" si="33"/>
        <v>162067.37999999989</v>
      </c>
      <c r="I42" s="357">
        <f>I40+I41</f>
        <v>183564</v>
      </c>
      <c r="J42" s="326"/>
      <c r="K42" s="357">
        <f t="shared" si="33"/>
        <v>126349</v>
      </c>
      <c r="L42" s="357">
        <f>L40+L41</f>
        <v>66563</v>
      </c>
      <c r="M42" s="325"/>
      <c r="N42" s="357">
        <f>N40+N41</f>
        <v>223065.82278481012</v>
      </c>
      <c r="O42" s="357">
        <f t="shared" ref="O42" si="34">O40+O41</f>
        <v>124072.37869567562</v>
      </c>
      <c r="P42" s="357">
        <f t="shared" ref="P42:R42" si="35">P40+P41</f>
        <v>63332.141945366347</v>
      </c>
      <c r="Q42" s="357">
        <f t="shared" si="35"/>
        <v>45335.834135955789</v>
      </c>
      <c r="R42" s="357">
        <f t="shared" si="35"/>
        <v>96624.687471062134</v>
      </c>
      <c r="S42" s="357">
        <f t="shared" ref="S42:T42" si="36">S40+S41</f>
        <v>77042.869366799699</v>
      </c>
      <c r="T42" s="357">
        <f t="shared" si="36"/>
        <v>71179.184923804714</v>
      </c>
      <c r="U42" s="321"/>
      <c r="V42" s="357">
        <f t="shared" ref="V42:W42" si="37">V40+V41</f>
        <v>60063.224947708666</v>
      </c>
      <c r="W42" s="357">
        <f t="shared" si="37"/>
        <v>25810.616929698699</v>
      </c>
    </row>
    <row r="43" spans="1:23" s="3" customFormat="1" x14ac:dyDescent="0.3">
      <c r="A43" s="20"/>
      <c r="B43" s="373"/>
      <c r="C43" s="363"/>
      <c r="D43" s="363"/>
      <c r="E43" s="363"/>
      <c r="F43" s="364"/>
      <c r="G43" s="364"/>
      <c r="H43" s="364"/>
      <c r="I43" s="364"/>
      <c r="J43" s="364"/>
      <c r="K43" s="364"/>
      <c r="L43" s="364"/>
      <c r="M43" s="365"/>
      <c r="N43" s="363"/>
      <c r="O43" s="363"/>
      <c r="P43" s="363"/>
      <c r="Q43" s="358"/>
      <c r="R43" s="358"/>
      <c r="S43" s="358"/>
      <c r="T43" s="358"/>
      <c r="U43" s="321"/>
      <c r="V43" s="321"/>
      <c r="W43" s="321"/>
    </row>
    <row r="44" spans="1:23" s="3" customFormat="1" x14ac:dyDescent="0.3">
      <c r="A44" s="20"/>
      <c r="B44" s="376" t="str">
        <f>CHOOSE(LanguagePage!$C$5,LanguagePage!$C61,LanguagePage!$D61)</f>
        <v>Долгосрочные кредиты и займы</v>
      </c>
      <c r="C44" s="307">
        <v>577997</v>
      </c>
      <c r="D44" s="307">
        <v>755400</v>
      </c>
      <c r="E44" s="307">
        <v>672660</v>
      </c>
      <c r="F44" s="307">
        <v>1264556</v>
      </c>
      <c r="G44" s="307">
        <v>1163574</v>
      </c>
      <c r="H44" s="307">
        <v>1199107</v>
      </c>
      <c r="I44" s="307">
        <v>1476281</v>
      </c>
      <c r="J44" s="316"/>
      <c r="K44" s="307">
        <v>1199107</v>
      </c>
      <c r="L44" s="307">
        <v>1476281</v>
      </c>
      <c r="M44" s="308"/>
      <c r="N44" s="307">
        <f t="shared" ref="N44:T49" si="38">C44/N$5</f>
        <v>487761.18143459916</v>
      </c>
      <c r="O44" s="307">
        <f t="shared" si="38"/>
        <v>406807.04399806127</v>
      </c>
      <c r="P44" s="307">
        <f t="shared" si="38"/>
        <v>343456.72708705644</v>
      </c>
      <c r="Q44" s="307">
        <f t="shared" si="38"/>
        <v>641028.03264561261</v>
      </c>
      <c r="R44" s="307">
        <f t="shared" si="38"/>
        <v>538741.55014353176</v>
      </c>
      <c r="S44" s="307">
        <f t="shared" si="38"/>
        <v>570026.14565506752</v>
      </c>
      <c r="T44" s="307">
        <f t="shared" si="38"/>
        <v>572446.00411027961</v>
      </c>
      <c r="U44" s="321"/>
      <c r="V44" s="307">
        <f t="shared" ref="V44:W49" si="39">K44/V$5</f>
        <v>570026.14565506752</v>
      </c>
      <c r="W44" s="307">
        <f t="shared" si="39"/>
        <v>572446.00411027961</v>
      </c>
    </row>
    <row r="45" spans="1:23" s="3" customFormat="1" ht="13.95" customHeight="1" x14ac:dyDescent="0.3">
      <c r="A45" s="20"/>
      <c r="B45" s="375" t="str">
        <f>CHOOSE(LanguagePage!$C$5,LanguagePage!$C62,LanguagePage!$D62)</f>
        <v xml:space="preserve">Долгосрочные обязательства по финансовой аренде </v>
      </c>
      <c r="C45" s="322">
        <v>9832</v>
      </c>
      <c r="D45" s="322">
        <v>90780</v>
      </c>
      <c r="E45" s="322">
        <v>79516</v>
      </c>
      <c r="F45" s="322">
        <v>70257</v>
      </c>
      <c r="G45" s="322">
        <v>63193</v>
      </c>
      <c r="H45" s="322">
        <v>11770</v>
      </c>
      <c r="I45" s="322">
        <f>344570-337470</f>
        <v>7100</v>
      </c>
      <c r="J45" s="316"/>
      <c r="K45" s="322">
        <v>268064</v>
      </c>
      <c r="L45" s="322">
        <f>344570</f>
        <v>344570</v>
      </c>
      <c r="M45" s="308"/>
      <c r="N45" s="322">
        <f t="shared" si="38"/>
        <v>8297.0464135021102</v>
      </c>
      <c r="O45" s="322">
        <f t="shared" si="38"/>
        <v>48887.931498734448</v>
      </c>
      <c r="P45" s="322">
        <f t="shared" si="38"/>
        <v>40600.459535358692</v>
      </c>
      <c r="Q45" s="307">
        <f t="shared" si="38"/>
        <v>35614.63983373042</v>
      </c>
      <c r="R45" s="307">
        <f t="shared" si="38"/>
        <v>29258.727659968514</v>
      </c>
      <c r="S45" s="307">
        <f t="shared" si="38"/>
        <v>5595.170184445712</v>
      </c>
      <c r="T45" s="307">
        <f t="shared" si="38"/>
        <v>2753.1117918492382</v>
      </c>
      <c r="U45" s="321"/>
      <c r="V45" s="307">
        <f t="shared" si="39"/>
        <v>127431.07054573111</v>
      </c>
      <c r="W45" s="307">
        <f t="shared" si="39"/>
        <v>133611.22959401296</v>
      </c>
    </row>
    <row r="46" spans="1:23" s="3" customFormat="1" x14ac:dyDescent="0.3">
      <c r="A46" s="20"/>
      <c r="B46" s="375" t="str">
        <f>CHOOSE(LanguagePage!$C$5,LanguagePage!$C64,LanguagePage!$D64)</f>
        <v>Доходы будущих периодов</v>
      </c>
      <c r="C46" s="322">
        <v>0</v>
      </c>
      <c r="D46" s="322">
        <v>6626</v>
      </c>
      <c r="E46" s="322">
        <v>5854</v>
      </c>
      <c r="F46" s="322">
        <v>4303</v>
      </c>
      <c r="G46" s="322">
        <v>2635</v>
      </c>
      <c r="H46" s="322">
        <v>3760</v>
      </c>
      <c r="I46" s="322">
        <v>2752</v>
      </c>
      <c r="J46" s="316"/>
      <c r="K46" s="322">
        <v>3760</v>
      </c>
      <c r="L46" s="322">
        <v>2752</v>
      </c>
      <c r="M46" s="308"/>
      <c r="N46" s="322">
        <f t="shared" si="38"/>
        <v>0</v>
      </c>
      <c r="O46" s="322">
        <f t="shared" si="38"/>
        <v>3568.3127793634553</v>
      </c>
      <c r="P46" s="322">
        <f t="shared" si="38"/>
        <v>2989.0222108756702</v>
      </c>
      <c r="Q46" s="307">
        <f t="shared" si="38"/>
        <v>2181.2743954985554</v>
      </c>
      <c r="R46" s="307">
        <f t="shared" si="38"/>
        <v>1220.0203722566903</v>
      </c>
      <c r="S46" s="307">
        <f t="shared" si="38"/>
        <v>1787.4120555238637</v>
      </c>
      <c r="T46" s="307">
        <f t="shared" si="38"/>
        <v>1067.1216410097329</v>
      </c>
      <c r="U46" s="321"/>
      <c r="V46" s="307">
        <f t="shared" si="39"/>
        <v>1787.4120555238637</v>
      </c>
      <c r="W46" s="307">
        <f t="shared" si="39"/>
        <v>1067.1216410097329</v>
      </c>
    </row>
    <row r="47" spans="1:23" s="3" customFormat="1" x14ac:dyDescent="0.3">
      <c r="A47" s="20"/>
      <c r="B47" s="375" t="str">
        <f>CHOOSE(LanguagePage!$C$5,LanguagePage!$C65,LanguagePage!$D65)</f>
        <v>Отложенные налоговые обязательства</v>
      </c>
      <c r="C47" s="322">
        <v>15669</v>
      </c>
      <c r="D47" s="322">
        <v>2895</v>
      </c>
      <c r="E47" s="322">
        <v>702</v>
      </c>
      <c r="F47" s="322">
        <v>3237</v>
      </c>
      <c r="G47" s="322">
        <v>1592</v>
      </c>
      <c r="H47" s="322">
        <v>1085</v>
      </c>
      <c r="I47" s="322">
        <v>5903</v>
      </c>
      <c r="J47" s="316"/>
      <c r="K47" s="322">
        <v>1085</v>
      </c>
      <c r="L47" s="322">
        <v>5903</v>
      </c>
      <c r="M47" s="308"/>
      <c r="N47" s="307">
        <f t="shared" si="38"/>
        <v>13222.784810126581</v>
      </c>
      <c r="O47" s="307">
        <f t="shared" si="38"/>
        <v>1559.0500296192579</v>
      </c>
      <c r="P47" s="307">
        <f t="shared" si="38"/>
        <v>358.43757978044425</v>
      </c>
      <c r="Q47" s="307">
        <f t="shared" si="38"/>
        <v>1640.8982612662849</v>
      </c>
      <c r="R47" s="307">
        <f t="shared" si="38"/>
        <v>737.10528752662276</v>
      </c>
      <c r="S47" s="307">
        <f t="shared" si="38"/>
        <v>515.78246814983834</v>
      </c>
      <c r="T47" s="307">
        <f t="shared" si="38"/>
        <v>2288.9604094769088</v>
      </c>
      <c r="U47" s="321"/>
      <c r="V47" s="307">
        <f t="shared" si="39"/>
        <v>515.78246814983834</v>
      </c>
      <c r="W47" s="307">
        <f t="shared" si="39"/>
        <v>2288.9604094769088</v>
      </c>
    </row>
    <row r="48" spans="1:23" s="3" customFormat="1" x14ac:dyDescent="0.3">
      <c r="A48" s="20"/>
      <c r="B48" s="375" t="str">
        <f>CHOOSE(LanguagePage!$C$5,LanguagePage!$C66,LanguagePage!$D66)</f>
        <v>Прочие долгосрочные обязательства</v>
      </c>
      <c r="C48" s="322">
        <v>0</v>
      </c>
      <c r="D48" s="322">
        <v>0</v>
      </c>
      <c r="E48" s="322">
        <v>0</v>
      </c>
      <c r="F48" s="322">
        <v>9713</v>
      </c>
      <c r="G48" s="322">
        <v>13770</v>
      </c>
      <c r="H48" s="322">
        <v>2863</v>
      </c>
      <c r="I48" s="322">
        <v>1445</v>
      </c>
      <c r="J48" s="316"/>
      <c r="K48" s="322">
        <v>2863</v>
      </c>
      <c r="L48" s="322">
        <v>1445</v>
      </c>
      <c r="M48" s="308"/>
      <c r="N48" s="307">
        <f t="shared" si="38"/>
        <v>0</v>
      </c>
      <c r="O48" s="307">
        <f t="shared" si="38"/>
        <v>0</v>
      </c>
      <c r="P48" s="307">
        <f t="shared" si="38"/>
        <v>0</v>
      </c>
      <c r="Q48" s="307">
        <f t="shared" si="38"/>
        <v>4923.7086226998535</v>
      </c>
      <c r="R48" s="307">
        <f t="shared" si="38"/>
        <v>6375.5903324381879</v>
      </c>
      <c r="S48" s="307">
        <f t="shared" si="38"/>
        <v>1361.0001901502185</v>
      </c>
      <c r="T48" s="307">
        <f t="shared" si="38"/>
        <v>560.31641397495059</v>
      </c>
      <c r="U48" s="321"/>
      <c r="V48" s="307">
        <f t="shared" si="39"/>
        <v>1361.0001901502185</v>
      </c>
      <c r="W48" s="307">
        <f t="shared" si="39"/>
        <v>560.31641397495059</v>
      </c>
    </row>
    <row r="49" spans="1:23" s="3" customFormat="1" x14ac:dyDescent="0.3">
      <c r="A49" s="20"/>
      <c r="B49" s="375" t="str">
        <f>CHOOSE(LanguagePage!$C$5,LanguagePage!$C76,LanguagePage!$D76)</f>
        <v>Производные финансовые инструменты</v>
      </c>
      <c r="C49" s="322">
        <v>0</v>
      </c>
      <c r="D49" s="322">
        <v>0</v>
      </c>
      <c r="E49" s="322">
        <v>0</v>
      </c>
      <c r="F49" s="322">
        <v>0</v>
      </c>
      <c r="G49" s="322">
        <v>0</v>
      </c>
      <c r="H49" s="322">
        <v>0</v>
      </c>
      <c r="I49" s="322">
        <v>40867</v>
      </c>
      <c r="J49" s="316"/>
      <c r="K49" s="322">
        <v>0</v>
      </c>
      <c r="L49" s="322">
        <v>40867</v>
      </c>
      <c r="M49" s="308"/>
      <c r="N49" s="307">
        <f t="shared" si="38"/>
        <v>0</v>
      </c>
      <c r="O49" s="307">
        <f t="shared" si="38"/>
        <v>0</v>
      </c>
      <c r="P49" s="307">
        <f t="shared" si="38"/>
        <v>0</v>
      </c>
      <c r="Q49" s="307">
        <f t="shared" si="38"/>
        <v>0</v>
      </c>
      <c r="R49" s="307">
        <f t="shared" si="38"/>
        <v>0</v>
      </c>
      <c r="S49" s="307">
        <f t="shared" si="38"/>
        <v>0</v>
      </c>
      <c r="T49" s="307">
        <f t="shared" si="38"/>
        <v>15846.678816549693</v>
      </c>
      <c r="U49" s="321"/>
      <c r="V49" s="307">
        <f t="shared" si="39"/>
        <v>0</v>
      </c>
      <c r="W49" s="307">
        <f t="shared" si="39"/>
        <v>15846.678816549693</v>
      </c>
    </row>
    <row r="50" spans="1:23" s="3" customFormat="1" x14ac:dyDescent="0.3">
      <c r="A50" s="20"/>
      <c r="B50" s="369" t="str">
        <f>CHOOSE(LanguagePage!$C$5,LanguagePage!$C67,LanguagePage!$D67)</f>
        <v>Итого долгосрочные обязательства</v>
      </c>
      <c r="C50" s="357">
        <f t="shared" ref="C50:H50" si="40">SUM(C44:C49)</f>
        <v>603498</v>
      </c>
      <c r="D50" s="357">
        <f t="shared" si="40"/>
        <v>855701</v>
      </c>
      <c r="E50" s="357">
        <f t="shared" si="40"/>
        <v>758732</v>
      </c>
      <c r="F50" s="357">
        <f t="shared" si="40"/>
        <v>1352066</v>
      </c>
      <c r="G50" s="357">
        <f t="shared" si="40"/>
        <v>1244764</v>
      </c>
      <c r="H50" s="357">
        <f t="shared" si="40"/>
        <v>1218585</v>
      </c>
      <c r="I50" s="357">
        <f>SUM(I44:I49)</f>
        <v>1534348</v>
      </c>
      <c r="J50" s="326"/>
      <c r="K50" s="357">
        <f>SUM(K44:K49)</f>
        <v>1474879</v>
      </c>
      <c r="L50" s="357">
        <f>SUM(L44:L49)</f>
        <v>1871818</v>
      </c>
      <c r="M50" s="325"/>
      <c r="N50" s="357">
        <f t="shared" ref="N50:T50" si="41">SUM(N44:N49)</f>
        <v>509281.01265822788</v>
      </c>
      <c r="O50" s="357">
        <f t="shared" si="41"/>
        <v>460822.33830577845</v>
      </c>
      <c r="P50" s="357">
        <f t="shared" si="41"/>
        <v>387404.64641307126</v>
      </c>
      <c r="Q50" s="357">
        <f t="shared" si="41"/>
        <v>685388.55375880771</v>
      </c>
      <c r="R50" s="357">
        <f t="shared" si="41"/>
        <v>576332.99379572179</v>
      </c>
      <c r="S50" s="357">
        <f t="shared" si="41"/>
        <v>579285.51055333705</v>
      </c>
      <c r="T50" s="357">
        <f t="shared" si="41"/>
        <v>594962.19318314013</v>
      </c>
      <c r="U50" s="321"/>
      <c r="V50" s="357">
        <f>SUM(V44:V49)</f>
        <v>701121.41091462248</v>
      </c>
      <c r="W50" s="357">
        <f>SUM(W44:W49)</f>
        <v>725820.31098530383</v>
      </c>
    </row>
    <row r="51" spans="1:23" s="3" customFormat="1" x14ac:dyDescent="0.3">
      <c r="A51" s="20"/>
      <c r="B51" s="373"/>
      <c r="C51" s="366"/>
      <c r="D51" s="366"/>
      <c r="E51" s="366"/>
      <c r="F51" s="326"/>
      <c r="G51" s="326"/>
      <c r="H51" s="326"/>
      <c r="I51" s="326"/>
      <c r="J51" s="326"/>
      <c r="K51" s="326"/>
      <c r="L51" s="326"/>
      <c r="M51" s="325"/>
      <c r="N51" s="366"/>
      <c r="O51" s="366"/>
      <c r="P51" s="366"/>
      <c r="Q51" s="358"/>
      <c r="R51" s="358"/>
      <c r="S51" s="358"/>
      <c r="T51" s="358"/>
      <c r="U51" s="321"/>
      <c r="V51" s="321"/>
      <c r="W51" s="321"/>
    </row>
    <row r="52" spans="1:23" s="3" customFormat="1" x14ac:dyDescent="0.3">
      <c r="A52" s="20"/>
      <c r="B52" s="376" t="str">
        <f>CHOOSE(LanguagePage!$C$5,LanguagePage!$C70,LanguagePage!$D70)</f>
        <v>Краткосрочные кредиты и займы</v>
      </c>
      <c r="C52" s="307">
        <v>225894</v>
      </c>
      <c r="D52" s="307">
        <v>435831</v>
      </c>
      <c r="E52" s="307">
        <v>514569</v>
      </c>
      <c r="F52" s="307">
        <v>20871</v>
      </c>
      <c r="G52" s="307">
        <v>9453</v>
      </c>
      <c r="H52" s="307">
        <v>1785</v>
      </c>
      <c r="I52" s="307">
        <v>12786</v>
      </c>
      <c r="J52" s="316"/>
      <c r="K52" s="307">
        <v>1785</v>
      </c>
      <c r="L52" s="307">
        <v>12786</v>
      </c>
      <c r="M52" s="308"/>
      <c r="N52" s="307">
        <f t="shared" ref="N52:T58" si="42">C52/N$5</f>
        <v>190627.84810126582</v>
      </c>
      <c r="O52" s="307">
        <f t="shared" si="42"/>
        <v>234708.92347460822</v>
      </c>
      <c r="P52" s="307">
        <f t="shared" si="42"/>
        <v>262736.27776359458</v>
      </c>
      <c r="Q52" s="307">
        <f t="shared" si="42"/>
        <v>10579.915851371217</v>
      </c>
      <c r="R52" s="307">
        <f t="shared" si="42"/>
        <v>4376.7941476062597</v>
      </c>
      <c r="S52" s="307">
        <f t="shared" si="42"/>
        <v>848.54535082715336</v>
      </c>
      <c r="T52" s="307">
        <f t="shared" si="42"/>
        <v>4957.9277986738534</v>
      </c>
      <c r="U52" s="321"/>
      <c r="V52" s="307">
        <f t="shared" ref="V52:W58" si="43">K52/V$5</f>
        <v>848.54535082715336</v>
      </c>
      <c r="W52" s="307">
        <f t="shared" si="43"/>
        <v>4957.9277986738534</v>
      </c>
    </row>
    <row r="53" spans="1:23" s="3" customFormat="1" x14ac:dyDescent="0.3">
      <c r="A53" s="20"/>
      <c r="B53" s="375" t="str">
        <f>CHOOSE(LanguagePage!$C$5,LanguagePage!$C71,LanguagePage!$D71)</f>
        <v>Проценты начисленные</v>
      </c>
      <c r="C53" s="322">
        <v>4052</v>
      </c>
      <c r="D53" s="322">
        <v>8564</v>
      </c>
      <c r="E53" s="322">
        <v>9659</v>
      </c>
      <c r="F53" s="322">
        <v>14363</v>
      </c>
      <c r="G53" s="322">
        <v>11652</v>
      </c>
      <c r="H53" s="322">
        <v>17543</v>
      </c>
      <c r="I53" s="322">
        <v>20973</v>
      </c>
      <c r="J53" s="316"/>
      <c r="K53" s="322">
        <v>17543</v>
      </c>
      <c r="L53" s="322">
        <v>20973</v>
      </c>
      <c r="M53" s="308"/>
      <c r="N53" s="322">
        <f t="shared" si="42"/>
        <v>3419.409282700422</v>
      </c>
      <c r="O53" s="322">
        <f t="shared" si="42"/>
        <v>4611.9877214712697</v>
      </c>
      <c r="P53" s="322">
        <f t="shared" si="42"/>
        <v>4931.8355884605571</v>
      </c>
      <c r="Q53" s="307">
        <f t="shared" si="42"/>
        <v>7280.8840675216716</v>
      </c>
      <c r="R53" s="307">
        <f t="shared" si="42"/>
        <v>5394.943976294101</v>
      </c>
      <c r="S53" s="307">
        <f t="shared" si="42"/>
        <v>8339.5132154401981</v>
      </c>
      <c r="T53" s="307">
        <f t="shared" si="42"/>
        <v>8132.5371282329679</v>
      </c>
      <c r="U53" s="321"/>
      <c r="V53" s="307">
        <f t="shared" si="43"/>
        <v>8339.5132154401981</v>
      </c>
      <c r="W53" s="307">
        <f t="shared" si="43"/>
        <v>8132.5371282329679</v>
      </c>
    </row>
    <row r="54" spans="1:23" s="3" customFormat="1" x14ac:dyDescent="0.3">
      <c r="A54" s="20"/>
      <c r="B54" s="375" t="str">
        <f>CHOOSE(LanguagePage!$C$5,LanguagePage!$C72,LanguagePage!$D72)</f>
        <v xml:space="preserve">Краткосрочные обязательства по финансовой аренде </v>
      </c>
      <c r="C54" s="322">
        <v>7750</v>
      </c>
      <c r="D54" s="322">
        <v>17333</v>
      </c>
      <c r="E54" s="322">
        <v>18688</v>
      </c>
      <c r="F54" s="322">
        <v>10803</v>
      </c>
      <c r="G54" s="322">
        <v>13725</v>
      </c>
      <c r="H54" s="322">
        <v>6692</v>
      </c>
      <c r="I54" s="322">
        <f>146141-139967</f>
        <v>6174</v>
      </c>
      <c r="J54" s="316"/>
      <c r="K54" s="322">
        <v>105415</v>
      </c>
      <c r="L54" s="322">
        <f>146141</f>
        <v>146141</v>
      </c>
      <c r="M54" s="308"/>
      <c r="N54" s="322">
        <f t="shared" si="42"/>
        <v>6540.0843881856536</v>
      </c>
      <c r="O54" s="322">
        <f t="shared" si="42"/>
        <v>9334.3744951262852</v>
      </c>
      <c r="P54" s="322">
        <f t="shared" si="42"/>
        <v>9541.9964258360997</v>
      </c>
      <c r="Q54" s="307">
        <f t="shared" si="42"/>
        <v>5476.250823744107</v>
      </c>
      <c r="R54" s="307">
        <f t="shared" si="42"/>
        <v>6354.7550699138801</v>
      </c>
      <c r="S54" s="307">
        <f t="shared" si="42"/>
        <v>3181.2131583951318</v>
      </c>
      <c r="T54" s="307">
        <f t="shared" si="42"/>
        <v>2394.0439722362248</v>
      </c>
      <c r="U54" s="321"/>
      <c r="V54" s="307">
        <f t="shared" si="43"/>
        <v>50111.71325347024</v>
      </c>
      <c r="W54" s="307">
        <f t="shared" si="43"/>
        <v>56667.959207414016</v>
      </c>
    </row>
    <row r="55" spans="1:23" s="3" customFormat="1" x14ac:dyDescent="0.3">
      <c r="A55" s="20"/>
      <c r="B55" s="375" t="str">
        <f>CHOOSE(LanguagePage!$C$5,LanguagePage!$C74,LanguagePage!$D74)</f>
        <v>Торговая и прочая кредиторская задолженность</v>
      </c>
      <c r="C55" s="322">
        <v>370949</v>
      </c>
      <c r="D55" s="322">
        <v>446195</v>
      </c>
      <c r="E55" s="322">
        <v>618925</v>
      </c>
      <c r="F55" s="322">
        <v>572106</v>
      </c>
      <c r="G55" s="322">
        <v>802275</v>
      </c>
      <c r="H55" s="322">
        <v>800335</v>
      </c>
      <c r="I55" s="322">
        <v>582560</v>
      </c>
      <c r="J55" s="316"/>
      <c r="K55" s="322">
        <v>800335</v>
      </c>
      <c r="L55" s="322">
        <v>582560</v>
      </c>
      <c r="M55" s="308"/>
      <c r="N55" s="322">
        <f t="shared" si="42"/>
        <v>313037.13080168777</v>
      </c>
      <c r="O55" s="322">
        <f t="shared" si="42"/>
        <v>240290.26872744897</v>
      </c>
      <c r="P55" s="322">
        <f t="shared" si="42"/>
        <v>316019.91319887672</v>
      </c>
      <c r="Q55" s="307">
        <f t="shared" si="42"/>
        <v>290011.65914736153</v>
      </c>
      <c r="R55" s="307">
        <f t="shared" si="42"/>
        <v>371458.00537086767</v>
      </c>
      <c r="S55" s="307">
        <f t="shared" si="42"/>
        <v>380459.68815364136</v>
      </c>
      <c r="T55" s="307">
        <f t="shared" si="42"/>
        <v>225894.76133235102</v>
      </c>
      <c r="U55" s="321"/>
      <c r="V55" s="307">
        <f t="shared" si="43"/>
        <v>380459.68815364136</v>
      </c>
      <c r="W55" s="307">
        <f t="shared" si="43"/>
        <v>225894.76133235102</v>
      </c>
    </row>
    <row r="56" spans="1:23" s="3" customFormat="1" x14ac:dyDescent="0.3">
      <c r="A56" s="20"/>
      <c r="B56" s="375" t="str">
        <f>CHOOSE(LanguagePage!$C$5,LanguagePage!$C75,LanguagePage!$D75)</f>
        <v>Текущие обязательства по налогам на прибыль</v>
      </c>
      <c r="C56" s="322">
        <v>16</v>
      </c>
      <c r="D56" s="322">
        <v>3731</v>
      </c>
      <c r="E56" s="322">
        <v>396</v>
      </c>
      <c r="F56" s="322">
        <v>1891</v>
      </c>
      <c r="G56" s="322">
        <v>3354</v>
      </c>
      <c r="H56" s="322">
        <v>236</v>
      </c>
      <c r="I56" s="322">
        <v>218</v>
      </c>
      <c r="J56" s="316"/>
      <c r="K56" s="322">
        <v>236</v>
      </c>
      <c r="L56" s="322">
        <v>218</v>
      </c>
      <c r="M56" s="308"/>
      <c r="N56" s="322">
        <f t="shared" si="42"/>
        <v>13.502109704641349</v>
      </c>
      <c r="O56" s="322">
        <f t="shared" si="42"/>
        <v>2009.2627497441974</v>
      </c>
      <c r="P56" s="322">
        <f t="shared" si="42"/>
        <v>202.19555782486597</v>
      </c>
      <c r="Q56" s="307">
        <f t="shared" si="42"/>
        <v>958.58468089420592</v>
      </c>
      <c r="R56" s="307">
        <f t="shared" si="42"/>
        <v>1552.9215668117417</v>
      </c>
      <c r="S56" s="307">
        <f t="shared" si="42"/>
        <v>112.18862901692336</v>
      </c>
      <c r="T56" s="307">
        <f t="shared" si="42"/>
        <v>84.532164876497731</v>
      </c>
      <c r="U56" s="321"/>
      <c r="V56" s="307">
        <f t="shared" si="43"/>
        <v>112.18862901692336</v>
      </c>
      <c r="W56" s="307">
        <f t="shared" si="43"/>
        <v>84.532164876497731</v>
      </c>
    </row>
    <row r="57" spans="1:23" s="3" customFormat="1" x14ac:dyDescent="0.3">
      <c r="A57" s="20"/>
      <c r="B57" s="282" t="str">
        <f>CHOOSE(LanguagePage!$C$5,LanguagePage!$C77,LanguagePage!$D77)</f>
        <v>Доходы будущих периодов</v>
      </c>
      <c r="C57" s="315">
        <v>0</v>
      </c>
      <c r="D57" s="315">
        <v>780</v>
      </c>
      <c r="E57" s="315">
        <v>772</v>
      </c>
      <c r="F57" s="315">
        <v>1543</v>
      </c>
      <c r="G57" s="315">
        <v>2436</v>
      </c>
      <c r="H57" s="315">
        <v>1078</v>
      </c>
      <c r="I57" s="315">
        <v>1102</v>
      </c>
      <c r="J57" s="316"/>
      <c r="K57" s="315">
        <v>1078</v>
      </c>
      <c r="L57" s="315">
        <v>1102</v>
      </c>
      <c r="M57" s="308"/>
      <c r="N57" s="315">
        <f t="shared" si="42"/>
        <v>0</v>
      </c>
      <c r="O57" s="315">
        <f t="shared" si="42"/>
        <v>420.05493026011095</v>
      </c>
      <c r="P57" s="315">
        <f t="shared" si="42"/>
        <v>394.17921878989023</v>
      </c>
      <c r="Q57" s="306">
        <f t="shared" si="42"/>
        <v>782.17671212044411</v>
      </c>
      <c r="R57" s="306">
        <f t="shared" si="42"/>
        <v>1127.8822113158626</v>
      </c>
      <c r="S57" s="306">
        <f t="shared" si="42"/>
        <v>512.45483932306524</v>
      </c>
      <c r="T57" s="306">
        <f t="shared" si="42"/>
        <v>427.3139710729381</v>
      </c>
      <c r="U57" s="321"/>
      <c r="V57" s="306">
        <f t="shared" si="43"/>
        <v>512.45483932306524</v>
      </c>
      <c r="W57" s="306">
        <f t="shared" si="43"/>
        <v>427.3139710729381</v>
      </c>
    </row>
    <row r="58" spans="1:23" s="3" customFormat="1" x14ac:dyDescent="0.3">
      <c r="A58" s="20"/>
      <c r="B58" s="282" t="str">
        <f>CHOOSE(LanguagePage!$C$5,LanguagePage!$C78,LanguagePage!$D78)</f>
        <v>Прочие краткосрочные обязательства</v>
      </c>
      <c r="C58" s="315">
        <v>44774</v>
      </c>
      <c r="D58" s="315">
        <v>52171</v>
      </c>
      <c r="E58" s="315">
        <v>61526</v>
      </c>
      <c r="F58" s="315">
        <v>67692</v>
      </c>
      <c r="G58" s="315">
        <v>82743</v>
      </c>
      <c r="H58" s="315">
        <v>91703</v>
      </c>
      <c r="I58" s="315">
        <v>116462</v>
      </c>
      <c r="J58" s="316"/>
      <c r="K58" s="315">
        <v>91703</v>
      </c>
      <c r="L58" s="315">
        <v>116462</v>
      </c>
      <c r="M58" s="308"/>
      <c r="N58" s="315">
        <f t="shared" si="42"/>
        <v>37783.966244725736</v>
      </c>
      <c r="O58" s="315">
        <f t="shared" si="42"/>
        <v>28095.750982820831</v>
      </c>
      <c r="P58" s="315">
        <f t="shared" si="42"/>
        <v>31414.858309931071</v>
      </c>
      <c r="Q58" s="306">
        <f t="shared" si="42"/>
        <v>34314.391443199675</v>
      </c>
      <c r="R58" s="306">
        <f t="shared" si="42"/>
        <v>38310.491712195573</v>
      </c>
      <c r="S58" s="306">
        <f t="shared" si="42"/>
        <v>43593.363757368315</v>
      </c>
      <c r="T58" s="306">
        <f t="shared" si="42"/>
        <v>45159.564155259992</v>
      </c>
      <c r="U58" s="321"/>
      <c r="V58" s="306">
        <f t="shared" si="43"/>
        <v>43593.363757368315</v>
      </c>
      <c r="W58" s="306">
        <f t="shared" si="43"/>
        <v>45159.564155259992</v>
      </c>
    </row>
    <row r="59" spans="1:23" s="3" customFormat="1" x14ac:dyDescent="0.3">
      <c r="A59" s="20"/>
      <c r="B59" s="368" t="str">
        <f>CHOOSE(LanguagePage!$C$5,LanguagePage!$C79,LanguagePage!$D79)</f>
        <v>Итого краткосрочные обязательства</v>
      </c>
      <c r="C59" s="356">
        <f t="shared" ref="C59:I59" si="44">SUM(C52:C58)</f>
        <v>653435</v>
      </c>
      <c r="D59" s="356">
        <f t="shared" si="44"/>
        <v>964605</v>
      </c>
      <c r="E59" s="356">
        <f t="shared" si="44"/>
        <v>1224535</v>
      </c>
      <c r="F59" s="356">
        <f t="shared" si="44"/>
        <v>689269</v>
      </c>
      <c r="G59" s="356">
        <f t="shared" si="44"/>
        <v>925638</v>
      </c>
      <c r="H59" s="356">
        <f t="shared" si="44"/>
        <v>919372</v>
      </c>
      <c r="I59" s="356">
        <f t="shared" si="44"/>
        <v>740275</v>
      </c>
      <c r="J59" s="326"/>
      <c r="K59" s="356">
        <f>SUM(K52:K58)</f>
        <v>1018095</v>
      </c>
      <c r="L59" s="356">
        <f>SUM(L52:L58)</f>
        <v>880242</v>
      </c>
      <c r="M59" s="325"/>
      <c r="N59" s="356">
        <f t="shared" ref="N59:S59" si="45">SUM(N52:N58)</f>
        <v>551421.94092826999</v>
      </c>
      <c r="O59" s="356">
        <f t="shared" si="45"/>
        <v>519470.62308147986</v>
      </c>
      <c r="P59" s="356">
        <f t="shared" si="45"/>
        <v>625241.25606331392</v>
      </c>
      <c r="Q59" s="356">
        <f t="shared" si="45"/>
        <v>349403.86272621283</v>
      </c>
      <c r="R59" s="356">
        <f t="shared" si="45"/>
        <v>428575.79405500507</v>
      </c>
      <c r="S59" s="356">
        <f t="shared" si="45"/>
        <v>437046.96710401215</v>
      </c>
      <c r="T59" s="356">
        <f t="shared" ref="T59" si="46">SUM(T52:T58)</f>
        <v>287050.68052270351</v>
      </c>
      <c r="U59" s="321"/>
      <c r="V59" s="356">
        <f>SUM(V52:V58)</f>
        <v>483977.4671990872</v>
      </c>
      <c r="W59" s="356">
        <f>SUM(W52:W58)</f>
        <v>341324.5957578813</v>
      </c>
    </row>
    <row r="60" spans="1:23" s="3" customFormat="1" x14ac:dyDescent="0.3">
      <c r="A60" s="20"/>
      <c r="B60" s="351"/>
      <c r="C60" s="325"/>
      <c r="D60" s="325"/>
      <c r="E60" s="325"/>
      <c r="F60" s="325"/>
      <c r="G60" s="325"/>
      <c r="H60" s="325"/>
      <c r="I60" s="325"/>
      <c r="J60" s="326"/>
      <c r="K60" s="325"/>
      <c r="L60" s="325"/>
      <c r="M60" s="325"/>
      <c r="N60" s="325"/>
      <c r="O60" s="325"/>
      <c r="P60" s="325"/>
      <c r="Q60" s="321"/>
      <c r="R60" s="321"/>
      <c r="S60" s="321"/>
      <c r="T60" s="321"/>
      <c r="U60" s="321"/>
      <c r="V60" s="321"/>
      <c r="W60" s="321"/>
    </row>
    <row r="61" spans="1:23" s="3" customFormat="1" x14ac:dyDescent="0.3">
      <c r="A61" s="20"/>
      <c r="B61" s="368" t="str">
        <f>CHOOSE(LanguagePage!$C$5,LanguagePage!$C81,LanguagePage!$D81)</f>
        <v>Итого обязательства</v>
      </c>
      <c r="C61" s="356">
        <f t="shared" ref="C61:I61" si="47">C59+C50</f>
        <v>1256933</v>
      </c>
      <c r="D61" s="356">
        <f t="shared" si="47"/>
        <v>1820306</v>
      </c>
      <c r="E61" s="356">
        <f t="shared" si="47"/>
        <v>1983267</v>
      </c>
      <c r="F61" s="356">
        <f t="shared" si="47"/>
        <v>2041335</v>
      </c>
      <c r="G61" s="356">
        <f t="shared" si="47"/>
        <v>2170402</v>
      </c>
      <c r="H61" s="356">
        <f t="shared" si="47"/>
        <v>2137957</v>
      </c>
      <c r="I61" s="356">
        <f t="shared" si="47"/>
        <v>2274623</v>
      </c>
      <c r="J61" s="326"/>
      <c r="K61" s="356">
        <f>K59+K50</f>
        <v>2492974</v>
      </c>
      <c r="L61" s="356">
        <f>L59+L50</f>
        <v>2752060</v>
      </c>
      <c r="M61" s="325"/>
      <c r="N61" s="356">
        <f>N59+N50</f>
        <v>1060702.9535864978</v>
      </c>
      <c r="O61" s="356">
        <f t="shared" ref="O61:V61" si="48">O59+O50</f>
        <v>980292.96138725826</v>
      </c>
      <c r="P61" s="356">
        <f t="shared" si="48"/>
        <v>1012645.9024763852</v>
      </c>
      <c r="Q61" s="356">
        <f t="shared" si="48"/>
        <v>1034792.4164850205</v>
      </c>
      <c r="R61" s="356">
        <f t="shared" si="48"/>
        <v>1004908.7878507269</v>
      </c>
      <c r="S61" s="356">
        <f t="shared" si="48"/>
        <v>1016332.4776573492</v>
      </c>
      <c r="T61" s="356">
        <f t="shared" ref="T61" si="49">T59+T50</f>
        <v>882012.8737058437</v>
      </c>
      <c r="U61" s="321"/>
      <c r="V61" s="356">
        <f t="shared" si="48"/>
        <v>1185098.8781137096</v>
      </c>
      <c r="W61" s="356">
        <f t="shared" ref="W61" si="50">W59+W50</f>
        <v>1067144.9067431851</v>
      </c>
    </row>
    <row r="62" spans="1:23" s="3" customFormat="1" x14ac:dyDescent="0.3">
      <c r="A62" s="20"/>
      <c r="B62" s="351"/>
      <c r="C62" s="325"/>
      <c r="D62" s="325"/>
      <c r="E62" s="325"/>
      <c r="F62" s="325"/>
      <c r="G62" s="325"/>
      <c r="H62" s="325"/>
      <c r="I62" s="325"/>
      <c r="J62" s="326"/>
      <c r="K62" s="325"/>
      <c r="L62" s="325"/>
      <c r="M62" s="325"/>
      <c r="N62" s="325"/>
      <c r="O62" s="325"/>
      <c r="P62" s="325"/>
      <c r="Q62" s="321"/>
      <c r="R62" s="321"/>
      <c r="S62" s="321"/>
      <c r="T62" s="321"/>
      <c r="U62" s="321"/>
      <c r="V62" s="321"/>
      <c r="W62" s="321"/>
    </row>
    <row r="63" spans="1:23" s="3" customFormat="1" ht="14.4" thickBot="1" x14ac:dyDescent="0.35">
      <c r="A63" s="20"/>
      <c r="B63" s="374" t="str">
        <f>CHOOSE(LanguagePage!$C$5,LanguagePage!$C83,LanguagePage!$D83)</f>
        <v>ИТОГО ОБЯЗАТЕЛЬСТВА И КАПИТАЛ</v>
      </c>
      <c r="C63" s="367">
        <f t="shared" ref="C63:I63" si="51">C61+C42</f>
        <v>1521266</v>
      </c>
      <c r="D63" s="367">
        <f t="shared" si="51"/>
        <v>2050696</v>
      </c>
      <c r="E63" s="367">
        <f t="shared" si="51"/>
        <v>2107303</v>
      </c>
      <c r="F63" s="367">
        <f t="shared" si="51"/>
        <v>2130769</v>
      </c>
      <c r="G63" s="367">
        <f t="shared" si="51"/>
        <v>2379092</v>
      </c>
      <c r="H63" s="367">
        <f t="shared" si="51"/>
        <v>2300024.38</v>
      </c>
      <c r="I63" s="367">
        <f t="shared" si="51"/>
        <v>2458187</v>
      </c>
      <c r="J63" s="326"/>
      <c r="K63" s="367">
        <f>K61+K42</f>
        <v>2619323</v>
      </c>
      <c r="L63" s="367">
        <f>L61+L42</f>
        <v>2818623</v>
      </c>
      <c r="M63" s="325"/>
      <c r="N63" s="367">
        <f t="shared" ref="N63:R63" si="52">N61+N42</f>
        <v>1283768.7763713079</v>
      </c>
      <c r="O63" s="367">
        <f t="shared" si="52"/>
        <v>1104365.3400829339</v>
      </c>
      <c r="P63" s="367">
        <f t="shared" si="52"/>
        <v>1075978.0444217515</v>
      </c>
      <c r="Q63" s="367">
        <f t="shared" si="52"/>
        <v>1080128.2506209763</v>
      </c>
      <c r="R63" s="367">
        <f t="shared" si="52"/>
        <v>1101533.475321789</v>
      </c>
      <c r="S63" s="367">
        <f>S61+S42</f>
        <v>1093375.3470241488</v>
      </c>
      <c r="T63" s="367">
        <f>T61+T42</f>
        <v>953192.05862964841</v>
      </c>
      <c r="U63" s="321"/>
      <c r="V63" s="367">
        <f>V61+V42</f>
        <v>1245162.1030614183</v>
      </c>
      <c r="W63" s="367">
        <f>W61+W42</f>
        <v>1092955.5236728839</v>
      </c>
    </row>
    <row r="64" spans="1:23" s="3" customFormat="1" ht="14.4" thickTop="1" x14ac:dyDescent="0.3">
      <c r="A64" s="20"/>
      <c r="B64" s="13"/>
      <c r="C64" s="22"/>
      <c r="D64" s="22"/>
      <c r="E64" s="22"/>
      <c r="F64" s="22"/>
      <c r="G64" s="22"/>
      <c r="H64" s="22"/>
      <c r="I64" s="22"/>
      <c r="J64" s="287"/>
      <c r="K64" s="22"/>
      <c r="L64" s="22"/>
      <c r="M64" s="232"/>
      <c r="N64" s="22"/>
      <c r="O64" s="22"/>
      <c r="P64" s="22"/>
    </row>
    <row r="65" spans="1:23" s="3" customFormat="1" ht="13.8" customHeight="1" x14ac:dyDescent="0.3">
      <c r="A65" s="20"/>
      <c r="B65" s="480" t="str">
        <f>CHOOSE(LanguagePage!$C$5,LanguagePage!C$86,LanguagePage!D$86)</f>
        <v xml:space="preserve">[1] Балансовые показатели на 31 декабря 2017 года были пересмотрены в МСФО отчетности за 2018, т.к. в 2018 году с целью оптимизации корпоративной структуры Компания консолидировала все бизнес направления в единую структуру. Ввиду проведенной консолидации произошел пересмотр показателей на 31 декабря 2017 года с учетом обновленного периметра компаний. </v>
      </c>
      <c r="C65" s="480"/>
      <c r="D65" s="480"/>
      <c r="E65" s="480"/>
      <c r="F65" s="480"/>
      <c r="G65" s="480"/>
      <c r="H65" s="480"/>
      <c r="I65" s="480"/>
      <c r="J65" s="480"/>
      <c r="K65" s="480"/>
      <c r="L65" s="480"/>
      <c r="M65" s="480"/>
      <c r="N65" s="480"/>
      <c r="O65" s="480"/>
      <c r="P65" s="480"/>
      <c r="Q65" s="480"/>
      <c r="R65" s="480"/>
      <c r="S65" s="480"/>
      <c r="T65" s="480"/>
      <c r="U65" s="480"/>
      <c r="V65" s="480"/>
      <c r="W65" s="296"/>
    </row>
    <row r="66" spans="1:23" s="3" customFormat="1" x14ac:dyDescent="0.3">
      <c r="A66" s="20"/>
      <c r="B66" s="480"/>
      <c r="C66" s="480"/>
      <c r="D66" s="480"/>
      <c r="E66" s="480"/>
      <c r="F66" s="480"/>
      <c r="G66" s="480"/>
      <c r="H66" s="480"/>
      <c r="I66" s="480"/>
      <c r="J66" s="480"/>
      <c r="K66" s="480"/>
      <c r="L66" s="480"/>
      <c r="M66" s="480"/>
      <c r="N66" s="480"/>
      <c r="O66" s="480"/>
      <c r="P66" s="480"/>
      <c r="Q66" s="480"/>
      <c r="R66" s="480"/>
      <c r="S66" s="480"/>
      <c r="T66" s="480"/>
      <c r="U66" s="480"/>
      <c r="V66" s="480"/>
      <c r="W66" s="296"/>
    </row>
    <row r="67" spans="1:23" s="3" customFormat="1" ht="13.2" customHeight="1" x14ac:dyDescent="0.3">
      <c r="A67" s="20"/>
      <c r="B67" s="9" t="str">
        <f>CHOOSE(LanguagePage!$C$5,LanguagePage!C$87,LanguagePage!D$87)</f>
        <v>[2] Некоторые статьи финансовой отчетности Компании были реклассифицированы.</v>
      </c>
      <c r="C67" s="22"/>
      <c r="D67" s="22"/>
      <c r="E67" s="22"/>
      <c r="F67" s="22"/>
      <c r="G67" s="22"/>
      <c r="H67" s="22"/>
      <c r="I67" s="22"/>
      <c r="J67" s="287"/>
      <c r="K67" s="22"/>
      <c r="L67" s="22"/>
      <c r="M67" s="232"/>
      <c r="N67" s="22"/>
      <c r="O67" s="22"/>
      <c r="P67" s="22"/>
    </row>
    <row r="68" spans="1:23" s="3" customFormat="1" x14ac:dyDescent="0.3">
      <c r="A68" s="38"/>
      <c r="B68" s="4"/>
      <c r="C68" s="22"/>
      <c r="D68" s="22"/>
      <c r="E68" s="22"/>
      <c r="F68" s="22"/>
      <c r="G68" s="22"/>
      <c r="H68" s="22"/>
      <c r="I68" s="22"/>
      <c r="J68" s="287"/>
      <c r="K68" s="22"/>
      <c r="L68" s="22"/>
      <c r="M68" s="232"/>
      <c r="N68" s="22"/>
      <c r="O68" s="22"/>
      <c r="P68" s="22"/>
    </row>
    <row r="69" spans="1:23" s="3" customFormat="1" x14ac:dyDescent="0.3">
      <c r="A69" s="38"/>
      <c r="B69" s="4"/>
      <c r="C69" s="22"/>
      <c r="D69" s="22"/>
      <c r="E69" s="22"/>
      <c r="F69" s="22"/>
      <c r="G69" s="22"/>
      <c r="H69" s="22"/>
      <c r="I69" s="22"/>
      <c r="J69" s="287"/>
      <c r="K69" s="22"/>
      <c r="L69" s="22"/>
      <c r="M69" s="232"/>
      <c r="N69" s="22"/>
      <c r="O69" s="22"/>
      <c r="P69" s="22"/>
    </row>
    <row r="70" spans="1:23" x14ac:dyDescent="0.3">
      <c r="C70" s="23"/>
      <c r="D70" s="23"/>
      <c r="E70" s="23"/>
      <c r="F70" s="23"/>
      <c r="G70" s="23"/>
      <c r="H70" s="23"/>
      <c r="I70" s="23"/>
      <c r="J70" s="288"/>
      <c r="K70" s="23"/>
      <c r="L70" s="23"/>
      <c r="M70" s="233"/>
      <c r="N70" s="23"/>
      <c r="O70" s="23"/>
      <c r="P70" s="23"/>
    </row>
  </sheetData>
  <mergeCells count="6">
    <mergeCell ref="B65:V66"/>
    <mergeCell ref="B2:E2"/>
    <mergeCell ref="C5:I5"/>
    <mergeCell ref="K5:L5"/>
    <mergeCell ref="C4:L4"/>
    <mergeCell ref="N4:W4"/>
  </mergeCells>
  <hyperlinks>
    <hyperlink ref="B4" location="Contents!A1" display="Contents!A1" xr:uid="{00000000-0004-0000-0200-000000000000}"/>
  </hyperlinks>
  <pageMargins left="0.7" right="0.7" top="0.75" bottom="0.75" header="0.3" footer="0.3"/>
  <pageSetup paperSize="9" orientation="portrait" r:id="rId1"/>
  <ignoredErrors>
    <ignoredError sqref="O19:P19 N32:P32 N52:P60 N38:P39 N44:P47 N21:P28 N36:P36 N41:P41 N40:R40 N62:P6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E498"/>
  </sheetPr>
  <dimension ref="A1:W71"/>
  <sheetViews>
    <sheetView showGridLines="0" zoomScale="90" zoomScaleNormal="90" workbookViewId="0">
      <pane ySplit="6" topLeftCell="A7" activePane="bottomLeft" state="frozen"/>
      <selection activeCell="B2" sqref="B2:E2"/>
      <selection pane="bottomLeft"/>
    </sheetView>
  </sheetViews>
  <sheetFormatPr defaultColWidth="9.109375" defaultRowHeight="13.8" x14ac:dyDescent="0.3"/>
  <cols>
    <col min="1" max="1" width="6" style="36" customWidth="1"/>
    <col min="2" max="2" width="50.6640625" style="2" customWidth="1"/>
    <col min="3" max="6" width="10.88671875" style="1" customWidth="1"/>
    <col min="7" max="7" width="3.88671875" style="1" customWidth="1"/>
    <col min="8" max="9" width="11" style="1" customWidth="1"/>
    <col min="10" max="10" width="9.109375" style="1"/>
    <col min="11" max="14" width="10.88671875" style="1" customWidth="1"/>
    <col min="15" max="15" width="3.77734375" style="1" customWidth="1"/>
    <col min="16" max="17" width="10.88671875" style="1" customWidth="1"/>
    <col min="18" max="19" width="9.109375" style="1"/>
    <col min="20" max="20" width="6.6640625" style="1" customWidth="1"/>
    <col min="21" max="16384" width="9.109375" style="1"/>
  </cols>
  <sheetData>
    <row r="1" spans="1:18" ht="14.1" customHeight="1" x14ac:dyDescent="0.3">
      <c r="B1" s="123"/>
      <c r="C1" s="123"/>
      <c r="D1" s="123"/>
      <c r="E1" s="123"/>
      <c r="F1" s="123"/>
      <c r="G1" s="123"/>
      <c r="H1" s="123"/>
      <c r="I1" s="123"/>
      <c r="J1" s="123"/>
      <c r="K1" s="123"/>
    </row>
    <row r="2" spans="1:18" ht="14.1" customHeight="1" x14ac:dyDescent="0.3">
      <c r="B2" s="465" t="str">
        <f>IF(LanguagePage!$C$12=1,LanguagePage!$C$2,LanguagePage!$C$3)</f>
        <v>ОТЧЕТ О ФИНАНСОВОМ ПОЛОЖЕНИИ</v>
      </c>
      <c r="C2" s="465"/>
      <c r="D2" s="465"/>
      <c r="E2" s="465"/>
      <c r="F2" s="465"/>
      <c r="G2" s="465"/>
      <c r="H2" s="465"/>
      <c r="I2" s="292"/>
      <c r="J2" s="257"/>
      <c r="Q2" s="211" t="str">
        <f>Contents!$B$2</f>
        <v>СОДЕРЖАНИЕ</v>
      </c>
    </row>
    <row r="3" spans="1:18" ht="14.1" customHeight="1" x14ac:dyDescent="0.3">
      <c r="G3" s="18"/>
    </row>
    <row r="4" spans="1:18" ht="14.1" customHeight="1" x14ac:dyDescent="0.3">
      <c r="B4" s="210" t="str">
        <f>Contents!$B$4</f>
        <v>Выбор языка: РУССКИЙ</v>
      </c>
      <c r="C4" s="474" t="str">
        <f>CHOOSE(LanguagePage!$C$12,LanguagePage!$D$6,LanguagePage!$D$7)</f>
        <v>тыс. BYN</v>
      </c>
      <c r="D4" s="475"/>
      <c r="E4" s="475"/>
      <c r="F4" s="475"/>
      <c r="G4" s="475"/>
      <c r="H4" s="475"/>
      <c r="I4" s="476"/>
      <c r="K4" s="474" t="str">
        <f>CHOOSE(LanguagePage!$C$12,LanguagePage!E6,LanguagePage!E7)</f>
        <v>тыс. USD</v>
      </c>
      <c r="L4" s="475"/>
      <c r="M4" s="475"/>
      <c r="N4" s="475"/>
      <c r="O4" s="475"/>
      <c r="P4" s="475"/>
      <c r="Q4" s="476"/>
    </row>
    <row r="5" spans="1:18" ht="14.1" customHeight="1" x14ac:dyDescent="0.3">
      <c r="C5" s="479" t="s">
        <v>721</v>
      </c>
      <c r="D5" s="479"/>
      <c r="E5" s="479"/>
      <c r="F5" s="479"/>
      <c r="G5" s="18"/>
      <c r="H5" s="479" t="s">
        <v>722</v>
      </c>
      <c r="I5" s="479"/>
      <c r="K5" s="26">
        <v>1.9336</v>
      </c>
      <c r="L5" s="26">
        <v>1.9898</v>
      </c>
      <c r="M5" s="26">
        <v>2.0432999999999999</v>
      </c>
      <c r="N5" s="26">
        <v>2.4007999999999998</v>
      </c>
      <c r="O5" s="26"/>
      <c r="P5" s="26">
        <v>2.0432999999999999</v>
      </c>
      <c r="Q5" s="26">
        <v>2.4007999999999998</v>
      </c>
      <c r="R5" s="26"/>
    </row>
    <row r="6" spans="1:18" ht="14.1" customHeight="1" x14ac:dyDescent="0.3">
      <c r="B6" s="8"/>
      <c r="C6" s="14" t="str">
        <f>CHOOSE(LanguagePage!$C$12,LanguagePage!D$16,LanguagePage!D$17)</f>
        <v>1П 2017</v>
      </c>
      <c r="D6" s="14" t="str">
        <f>CHOOSE(LanguagePage!$C$12,LanguagePage!E$16,LanguagePage!E$17)</f>
        <v>1П 2018</v>
      </c>
      <c r="E6" s="14" t="str">
        <f>CHOOSE(LanguagePage!$C$12,LanguagePage!F$16,LanguagePage!F$17)</f>
        <v>1П 2019</v>
      </c>
      <c r="F6" s="14" t="str">
        <f>CHOOSE(LanguagePage!$C$12,LanguagePage!H$16,LanguagePage!H$17)</f>
        <v>1П 2020</v>
      </c>
      <c r="G6" s="18"/>
      <c r="H6" s="256" t="str">
        <f>CHOOSE(LanguagePage!$C$12,LanguagePage!F$16,LanguagePage!F$17)</f>
        <v>1П 2019</v>
      </c>
      <c r="I6" s="256" t="str">
        <f>CHOOSE(LanguagePage!$C$12,LanguagePage!H$16,LanguagePage!H$17)</f>
        <v>1П 2020</v>
      </c>
      <c r="K6" s="14" t="str">
        <f>$C$6</f>
        <v>1П 2017</v>
      </c>
      <c r="L6" s="14" t="str">
        <f>$D$6</f>
        <v>1П 2018</v>
      </c>
      <c r="M6" s="14" t="str">
        <f>$E$6</f>
        <v>1П 2019</v>
      </c>
      <c r="N6" s="14" t="str">
        <f>$F$6</f>
        <v>1П 2020</v>
      </c>
      <c r="P6" s="254" t="str">
        <f>$H$6</f>
        <v>1П 2019</v>
      </c>
      <c r="Q6" s="254" t="str">
        <f>$I$6</f>
        <v>1П 2020</v>
      </c>
    </row>
    <row r="7" spans="1:18" ht="25.95" customHeight="1" x14ac:dyDescent="0.3">
      <c r="A7" s="37"/>
      <c r="B7" s="24" t="str">
        <f>CHOOSE(LanguagePage!$C$12,LanguagePage!$C19,LanguagePage!$D19)</f>
        <v>АКТИВЫ</v>
      </c>
      <c r="C7" s="16"/>
      <c r="D7" s="16"/>
      <c r="E7" s="16"/>
      <c r="F7" s="16"/>
      <c r="G7" s="18"/>
      <c r="H7" s="16"/>
      <c r="I7" s="16"/>
      <c r="J7" s="17"/>
      <c r="K7" s="16"/>
    </row>
    <row r="8" spans="1:18" ht="11.4" customHeight="1" x14ac:dyDescent="0.3">
      <c r="A8" s="37"/>
      <c r="B8" s="11"/>
      <c r="C8" s="18"/>
      <c r="D8" s="18"/>
      <c r="E8" s="18"/>
      <c r="F8" s="18"/>
      <c r="G8" s="18"/>
      <c r="H8" s="18"/>
      <c r="I8" s="18"/>
      <c r="J8" s="17"/>
      <c r="K8" s="18"/>
      <c r="Q8" s="204"/>
    </row>
    <row r="9" spans="1:18" ht="15" customHeight="1" x14ac:dyDescent="0.3">
      <c r="A9" s="37"/>
      <c r="B9" s="318" t="str">
        <f>CHOOSE(LanguagePage!$C$12,LanguagePage!$C22,LanguagePage!$D22)</f>
        <v>Основные средства</v>
      </c>
      <c r="C9" s="308">
        <v>1433941</v>
      </c>
      <c r="D9" s="308">
        <v>1274240</v>
      </c>
      <c r="E9" s="308">
        <v>1343275</v>
      </c>
      <c r="F9" s="308">
        <v>1268531</v>
      </c>
      <c r="G9" s="377"/>
      <c r="H9" s="308">
        <v>1343275</v>
      </c>
      <c r="I9" s="308">
        <v>1250604</v>
      </c>
      <c r="J9" s="313"/>
      <c r="K9" s="308">
        <f t="shared" ref="K9:K17" si="0">C9/K$5</f>
        <v>741591.33223003719</v>
      </c>
      <c r="L9" s="308">
        <f t="shared" ref="L9:L17" si="1">D9/L$5</f>
        <v>640385.96843903908</v>
      </c>
      <c r="M9" s="308">
        <f t="shared" ref="M9:N17" si="2">E9/M$5</f>
        <v>657404.68849410268</v>
      </c>
      <c r="N9" s="308">
        <f t="shared" si="2"/>
        <v>528378.45718093973</v>
      </c>
      <c r="O9" s="304"/>
      <c r="P9" s="308">
        <f t="shared" ref="P9:Q17" si="3">H9/P$5</f>
        <v>657404.68849410268</v>
      </c>
      <c r="Q9" s="308">
        <f t="shared" si="3"/>
        <v>520911.36287904036</v>
      </c>
    </row>
    <row r="10" spans="1:18" ht="15" customHeight="1" x14ac:dyDescent="0.3">
      <c r="A10" s="37"/>
      <c r="B10" s="281" t="str">
        <f>CHOOSE(LanguagePage!$C$12,LanguagePage!$C23,LanguagePage!$D23)</f>
        <v>Права пользования объектами аренды</v>
      </c>
      <c r="C10" s="315">
        <v>0</v>
      </c>
      <c r="D10" s="315">
        <v>0</v>
      </c>
      <c r="E10" s="315">
        <v>0</v>
      </c>
      <c r="F10" s="315">
        <v>0</v>
      </c>
      <c r="G10" s="377"/>
      <c r="H10" s="315">
        <v>365746</v>
      </c>
      <c r="I10" s="315">
        <v>369332</v>
      </c>
      <c r="J10" s="313"/>
      <c r="K10" s="315">
        <f t="shared" si="0"/>
        <v>0</v>
      </c>
      <c r="L10" s="315">
        <f t="shared" si="1"/>
        <v>0</v>
      </c>
      <c r="M10" s="315">
        <f t="shared" si="2"/>
        <v>0</v>
      </c>
      <c r="N10" s="315">
        <f t="shared" si="2"/>
        <v>0</v>
      </c>
      <c r="O10" s="304"/>
      <c r="P10" s="315">
        <f t="shared" si="3"/>
        <v>178997.69979934421</v>
      </c>
      <c r="Q10" s="315">
        <f t="shared" si="3"/>
        <v>153837.05431522828</v>
      </c>
    </row>
    <row r="11" spans="1:18" ht="15" customHeight="1" x14ac:dyDescent="0.3">
      <c r="A11" s="37"/>
      <c r="B11" s="282" t="str">
        <f>CHOOSE(LanguagePage!$C$12,LanguagePage!$C24,LanguagePage!$D24)</f>
        <v>Предоплаты за долгосрочные активы</v>
      </c>
      <c r="C11" s="315">
        <v>25853</v>
      </c>
      <c r="D11" s="315">
        <v>29565</v>
      </c>
      <c r="E11" s="315">
        <v>27974</v>
      </c>
      <c r="F11" s="315">
        <v>10795</v>
      </c>
      <c r="G11" s="377"/>
      <c r="H11" s="315">
        <v>27974</v>
      </c>
      <c r="I11" s="315">
        <v>10795</v>
      </c>
      <c r="J11" s="313"/>
      <c r="K11" s="315">
        <f t="shared" si="0"/>
        <v>13370.397186594953</v>
      </c>
      <c r="L11" s="315">
        <f t="shared" si="1"/>
        <v>14858.27721379033</v>
      </c>
      <c r="M11" s="315">
        <f t="shared" si="2"/>
        <v>13690.598541574904</v>
      </c>
      <c r="N11" s="315">
        <f t="shared" ref="N11" si="4">F11/N$5</f>
        <v>4496.4178607130962</v>
      </c>
      <c r="O11" s="304"/>
      <c r="P11" s="315">
        <f t="shared" si="3"/>
        <v>13690.598541574904</v>
      </c>
      <c r="Q11" s="315">
        <f t="shared" si="3"/>
        <v>4496.4178607130962</v>
      </c>
    </row>
    <row r="12" spans="1:18" ht="15" customHeight="1" x14ac:dyDescent="0.3">
      <c r="A12" s="37"/>
      <c r="B12" s="282" t="str">
        <f>CHOOSE(LanguagePage!$C$12,LanguagePage!$C25,LanguagePage!$D25)</f>
        <v>Нематериальные активы</v>
      </c>
      <c r="C12" s="315">
        <v>4892</v>
      </c>
      <c r="D12" s="315">
        <v>7694</v>
      </c>
      <c r="E12" s="315">
        <v>12757</v>
      </c>
      <c r="F12" s="315">
        <v>18005</v>
      </c>
      <c r="G12" s="308"/>
      <c r="H12" s="315">
        <v>12757</v>
      </c>
      <c r="I12" s="315">
        <v>18005</v>
      </c>
      <c r="J12" s="313"/>
      <c r="K12" s="315">
        <f t="shared" si="0"/>
        <v>2529.995862639636</v>
      </c>
      <c r="L12" s="315">
        <f t="shared" si="1"/>
        <v>3866.7202733943109</v>
      </c>
      <c r="M12" s="315">
        <f t="shared" si="2"/>
        <v>6243.3318651201489</v>
      </c>
      <c r="N12" s="315">
        <f>F12/N$5</f>
        <v>7499.583472175942</v>
      </c>
      <c r="O12" s="304"/>
      <c r="P12" s="315">
        <f t="shared" si="3"/>
        <v>6243.3318651201489</v>
      </c>
      <c r="Q12" s="315">
        <f t="shared" si="3"/>
        <v>7499.583472175942</v>
      </c>
    </row>
    <row r="13" spans="1:18" ht="15" customHeight="1" x14ac:dyDescent="0.3">
      <c r="A13" s="37"/>
      <c r="B13" s="282" t="str">
        <f>CHOOSE(LanguagePage!$C$12,LanguagePage!$C26,LanguagePage!$D26)</f>
        <v>Гудвил</v>
      </c>
      <c r="C13" s="315">
        <v>6359</v>
      </c>
      <c r="D13" s="315">
        <v>7055</v>
      </c>
      <c r="E13" s="315">
        <v>6359</v>
      </c>
      <c r="F13" s="315">
        <v>6232</v>
      </c>
      <c r="G13" s="308"/>
      <c r="H13" s="315">
        <v>6359</v>
      </c>
      <c r="I13" s="315">
        <v>6232</v>
      </c>
      <c r="J13" s="313"/>
      <c r="K13" s="315">
        <f t="shared" si="0"/>
        <v>3288.6843194042203</v>
      </c>
      <c r="L13" s="315">
        <f t="shared" si="1"/>
        <v>3545.5824706000603</v>
      </c>
      <c r="M13" s="315">
        <f t="shared" si="2"/>
        <v>3112.1225468604712</v>
      </c>
      <c r="N13" s="315">
        <f t="shared" si="2"/>
        <v>2595.8013995334891</v>
      </c>
      <c r="O13" s="304"/>
      <c r="P13" s="315">
        <f t="shared" si="3"/>
        <v>3112.1225468604712</v>
      </c>
      <c r="Q13" s="315">
        <f t="shared" si="3"/>
        <v>2595.8013995334891</v>
      </c>
    </row>
    <row r="14" spans="1:18" ht="15" customHeight="1" x14ac:dyDescent="0.3">
      <c r="A14" s="37"/>
      <c r="B14" s="282" t="str">
        <f>CHOOSE(LanguagePage!$C$12,LanguagePage!$C28,LanguagePage!$D28)</f>
        <v>Кредиты выданные</v>
      </c>
      <c r="C14" s="315">
        <v>21673</v>
      </c>
      <c r="D14" s="315">
        <v>32350</v>
      </c>
      <c r="E14" s="315">
        <v>58086</v>
      </c>
      <c r="F14" s="315">
        <v>46127</v>
      </c>
      <c r="G14" s="308"/>
      <c r="H14" s="315">
        <v>58086</v>
      </c>
      <c r="I14" s="315">
        <v>46127</v>
      </c>
      <c r="J14" s="313"/>
      <c r="K14" s="315">
        <f t="shared" si="0"/>
        <v>11208.626396359123</v>
      </c>
      <c r="L14" s="315">
        <f t="shared" si="1"/>
        <v>16257.915368378732</v>
      </c>
      <c r="M14" s="315">
        <f t="shared" si="2"/>
        <v>28427.543679342241</v>
      </c>
      <c r="N14" s="315">
        <f t="shared" si="2"/>
        <v>19213.178940353217</v>
      </c>
      <c r="O14" s="304"/>
      <c r="P14" s="315">
        <f t="shared" si="3"/>
        <v>28427.543679342241</v>
      </c>
      <c r="Q14" s="315">
        <f t="shared" si="3"/>
        <v>19213.178940353217</v>
      </c>
    </row>
    <row r="15" spans="1:18" ht="15" customHeight="1" x14ac:dyDescent="0.3">
      <c r="A15" s="37"/>
      <c r="B15" s="282" t="str">
        <f>CHOOSE(LanguagePage!$C$12,LanguagePage!$C29,LanguagePage!$D29)</f>
        <v>НДС к возмещению</v>
      </c>
      <c r="C15" s="315">
        <v>0</v>
      </c>
      <c r="D15" s="315">
        <v>14457</v>
      </c>
      <c r="E15" s="315">
        <v>11611</v>
      </c>
      <c r="F15" s="315">
        <v>2749</v>
      </c>
      <c r="G15" s="308"/>
      <c r="H15" s="315">
        <v>11611</v>
      </c>
      <c r="I15" s="315">
        <v>2749</v>
      </c>
      <c r="J15" s="313"/>
      <c r="K15" s="315">
        <f t="shared" si="0"/>
        <v>0</v>
      </c>
      <c r="L15" s="315">
        <f t="shared" si="1"/>
        <v>7265.5543270680473</v>
      </c>
      <c r="M15" s="315">
        <f t="shared" si="2"/>
        <v>5682.4744286203695</v>
      </c>
      <c r="N15" s="315">
        <f t="shared" si="2"/>
        <v>1145.034988337221</v>
      </c>
      <c r="O15" s="304"/>
      <c r="P15" s="315">
        <f t="shared" si="3"/>
        <v>5682.4744286203695</v>
      </c>
      <c r="Q15" s="315">
        <f t="shared" si="3"/>
        <v>1145.034988337221</v>
      </c>
    </row>
    <row r="16" spans="1:18" ht="15" customHeight="1" x14ac:dyDescent="0.3">
      <c r="A16" s="37"/>
      <c r="B16" s="282" t="str">
        <f>CHOOSE(LanguagePage!$C$12,LanguagePage!$C30,LanguagePage!$D30)</f>
        <v>Отложенные налоговые активы</v>
      </c>
      <c r="C16" s="315">
        <v>58816</v>
      </c>
      <c r="D16" s="315">
        <v>82623</v>
      </c>
      <c r="E16" s="315">
        <v>53647</v>
      </c>
      <c r="F16" s="315">
        <v>17331</v>
      </c>
      <c r="G16" s="308"/>
      <c r="H16" s="315">
        <v>53647</v>
      </c>
      <c r="I16" s="315">
        <v>34311</v>
      </c>
      <c r="J16" s="313"/>
      <c r="K16" s="315">
        <f t="shared" si="0"/>
        <v>30417.873396772859</v>
      </c>
      <c r="L16" s="315">
        <f t="shared" si="1"/>
        <v>41523.268670218109</v>
      </c>
      <c r="M16" s="315">
        <f t="shared" si="2"/>
        <v>26255.077570596586</v>
      </c>
      <c r="N16" s="315">
        <f t="shared" si="2"/>
        <v>7218.843718760414</v>
      </c>
      <c r="O16" s="304"/>
      <c r="P16" s="315">
        <f t="shared" si="3"/>
        <v>26255.077570596586</v>
      </c>
      <c r="Q16" s="315">
        <f t="shared" si="3"/>
        <v>14291.486171276243</v>
      </c>
    </row>
    <row r="17" spans="1:23" ht="15" customHeight="1" x14ac:dyDescent="0.3">
      <c r="A17" s="37"/>
      <c r="B17" s="282" t="str">
        <f>CHOOSE(LanguagePage!$C$12,LanguagePage!$C31,LanguagePage!$D31)</f>
        <v>Прочие инвестиции</v>
      </c>
      <c r="C17" s="315">
        <v>1513</v>
      </c>
      <c r="D17" s="315">
        <v>816</v>
      </c>
      <c r="E17" s="315">
        <v>366</v>
      </c>
      <c r="F17" s="315">
        <v>0</v>
      </c>
      <c r="G17" s="308"/>
      <c r="H17" s="315">
        <v>366</v>
      </c>
      <c r="I17" s="315">
        <v>0</v>
      </c>
      <c r="J17" s="313"/>
      <c r="K17" s="315">
        <f t="shared" si="0"/>
        <v>782.47827885808852</v>
      </c>
      <c r="L17" s="315">
        <f t="shared" si="1"/>
        <v>410.09146647904311</v>
      </c>
      <c r="M17" s="315">
        <f t="shared" si="2"/>
        <v>179.12200851563648</v>
      </c>
      <c r="N17" s="315">
        <f t="shared" si="2"/>
        <v>0</v>
      </c>
      <c r="O17" s="304"/>
      <c r="P17" s="315">
        <f t="shared" si="3"/>
        <v>179.12200851563648</v>
      </c>
      <c r="Q17" s="315">
        <f t="shared" si="3"/>
        <v>0</v>
      </c>
    </row>
    <row r="18" spans="1:23" ht="15" customHeight="1" x14ac:dyDescent="0.3">
      <c r="A18" s="37"/>
      <c r="B18" s="368" t="str">
        <f>CHOOSE(LanguagePage!$C$12,LanguagePage!$C33,LanguagePage!$D33)</f>
        <v>Итого долгосрочные активы</v>
      </c>
      <c r="C18" s="356">
        <f>SUM(C9:C17)</f>
        <v>1553047</v>
      </c>
      <c r="D18" s="356">
        <f>SUM(D9:D17)</f>
        <v>1448800</v>
      </c>
      <c r="E18" s="356">
        <f>SUM(E9:E17)</f>
        <v>1514075</v>
      </c>
      <c r="F18" s="356">
        <f>SUM(F9:F17)</f>
        <v>1369770</v>
      </c>
      <c r="G18" s="325"/>
      <c r="H18" s="356">
        <f>SUM(H9:H17)</f>
        <v>1879821</v>
      </c>
      <c r="I18" s="356">
        <f>SUM(I9:I17)</f>
        <v>1738155</v>
      </c>
      <c r="J18" s="378"/>
      <c r="K18" s="356">
        <f>SUM(K9:K17)</f>
        <v>803189.3876706661</v>
      </c>
      <c r="L18" s="356">
        <f>SUM(L9:L17)</f>
        <v>728113.37822896754</v>
      </c>
      <c r="M18" s="356">
        <f>SUM(M9:M17)</f>
        <v>740994.95913473307</v>
      </c>
      <c r="N18" s="356">
        <f>SUM(N9:N17)</f>
        <v>570547.31756081316</v>
      </c>
      <c r="O18" s="304"/>
      <c r="P18" s="356">
        <f>SUM(P9:P17)</f>
        <v>919992.65893407725</v>
      </c>
      <c r="Q18" s="356">
        <f>SUM(Q9:Q17)</f>
        <v>723989.92002665787</v>
      </c>
    </row>
    <row r="19" spans="1:23" x14ac:dyDescent="0.3">
      <c r="A19" s="37"/>
      <c r="B19" s="351"/>
      <c r="C19" s="325"/>
      <c r="D19" s="325"/>
      <c r="E19" s="325"/>
      <c r="F19" s="325"/>
      <c r="G19" s="325"/>
      <c r="H19" s="325"/>
      <c r="I19" s="325"/>
      <c r="J19" s="378"/>
      <c r="K19" s="325"/>
      <c r="L19" s="325"/>
      <c r="M19" s="325"/>
      <c r="N19" s="325"/>
      <c r="O19" s="304"/>
      <c r="P19" s="325"/>
      <c r="Q19" s="325"/>
      <c r="T19" s="2"/>
      <c r="U19" s="7"/>
      <c r="V19" s="2"/>
      <c r="W19" s="2"/>
    </row>
    <row r="20" spans="1:23" x14ac:dyDescent="0.3">
      <c r="A20" s="37"/>
      <c r="B20" s="281" t="str">
        <f>CHOOSE(LanguagePage!$C$12,LanguagePage!$C36,LanguagePage!$D36)</f>
        <v>Запасы</v>
      </c>
      <c r="C20" s="308">
        <v>242518</v>
      </c>
      <c r="D20" s="308">
        <v>330691</v>
      </c>
      <c r="E20" s="308">
        <v>408925</v>
      </c>
      <c r="F20" s="308">
        <v>387434</v>
      </c>
      <c r="G20" s="308"/>
      <c r="H20" s="308">
        <v>408925</v>
      </c>
      <c r="I20" s="308">
        <v>387434</v>
      </c>
      <c r="J20" s="313"/>
      <c r="K20" s="308">
        <f t="shared" ref="K20:K28" si="5">C20/K$5</f>
        <v>125423.04509722797</v>
      </c>
      <c r="L20" s="308">
        <f t="shared" ref="L20:L28" si="6">D20/L$5</f>
        <v>166193.0847321339</v>
      </c>
      <c r="M20" s="308">
        <f t="shared" ref="M20:N28" si="7">E20/M$5</f>
        <v>200129.69216463563</v>
      </c>
      <c r="N20" s="308">
        <f t="shared" si="7"/>
        <v>161377.0409863379</v>
      </c>
      <c r="O20" s="304"/>
      <c r="P20" s="308">
        <f t="shared" ref="P20:Q28" si="8">H20/P$5</f>
        <v>200129.69216463563</v>
      </c>
      <c r="Q20" s="308">
        <f t="shared" si="8"/>
        <v>161377.0409863379</v>
      </c>
      <c r="T20" s="6"/>
    </row>
    <row r="21" spans="1:23" s="3" customFormat="1" x14ac:dyDescent="0.3">
      <c r="A21" s="20"/>
      <c r="B21" s="282" t="str">
        <f>CHOOSE(LanguagePage!$C$12,LanguagePage!$C37,LanguagePage!$D37)</f>
        <v>Торговая и прочая дебиторская задолженность</v>
      </c>
      <c r="C21" s="315">
        <v>84267</v>
      </c>
      <c r="D21" s="315">
        <v>71731</v>
      </c>
      <c r="E21" s="315">
        <v>63514</v>
      </c>
      <c r="F21" s="315">
        <v>60807</v>
      </c>
      <c r="G21" s="308"/>
      <c r="H21" s="315">
        <v>63514</v>
      </c>
      <c r="I21" s="315">
        <v>60807</v>
      </c>
      <c r="J21" s="317"/>
      <c r="K21" s="315">
        <f t="shared" si="5"/>
        <v>43580.368225072401</v>
      </c>
      <c r="L21" s="315">
        <f t="shared" si="6"/>
        <v>36049.351693637553</v>
      </c>
      <c r="M21" s="315">
        <f t="shared" si="7"/>
        <v>31084.030734595999</v>
      </c>
      <c r="N21" s="315">
        <f t="shared" si="7"/>
        <v>25327.807397534158</v>
      </c>
      <c r="O21" s="321"/>
      <c r="P21" s="315">
        <f t="shared" si="8"/>
        <v>31084.030734595999</v>
      </c>
      <c r="Q21" s="315">
        <f t="shared" si="8"/>
        <v>25327.807397534158</v>
      </c>
    </row>
    <row r="22" spans="1:23" s="5" customFormat="1" x14ac:dyDescent="0.3">
      <c r="A22" s="20"/>
      <c r="B22" s="282" t="str">
        <f>CHOOSE(LanguagePage!$C$12,LanguagePage!$C38,LanguagePage!$D38)</f>
        <v>Предоплаты</v>
      </c>
      <c r="C22" s="315">
        <v>45496</v>
      </c>
      <c r="D22" s="315">
        <v>58370</v>
      </c>
      <c r="E22" s="315">
        <v>50372</v>
      </c>
      <c r="F22" s="315">
        <v>59431</v>
      </c>
      <c r="G22" s="308"/>
      <c r="H22" s="315">
        <v>50372</v>
      </c>
      <c r="I22" s="315">
        <v>52849</v>
      </c>
      <c r="J22" s="317"/>
      <c r="K22" s="315">
        <f t="shared" si="5"/>
        <v>23529.168390566818</v>
      </c>
      <c r="L22" s="315">
        <f t="shared" si="6"/>
        <v>29334.606493114887</v>
      </c>
      <c r="M22" s="315">
        <f t="shared" si="7"/>
        <v>24652.278177458036</v>
      </c>
      <c r="N22" s="315">
        <f t="shared" si="7"/>
        <v>24754.66511162946</v>
      </c>
      <c r="O22" s="332"/>
      <c r="P22" s="315">
        <f t="shared" si="8"/>
        <v>24652.278177458036</v>
      </c>
      <c r="Q22" s="315">
        <f t="shared" si="8"/>
        <v>22013.078973675441</v>
      </c>
    </row>
    <row r="23" spans="1:23" s="3" customFormat="1" x14ac:dyDescent="0.3">
      <c r="A23" s="20"/>
      <c r="B23" s="282" t="str">
        <f>CHOOSE(LanguagePage!$C$12,LanguagePage!$C39,LanguagePage!$D39)</f>
        <v>НДС к возмещению</v>
      </c>
      <c r="C23" s="315">
        <v>21540</v>
      </c>
      <c r="D23" s="315">
        <v>15177</v>
      </c>
      <c r="E23" s="315">
        <v>14662</v>
      </c>
      <c r="F23" s="315">
        <v>4826</v>
      </c>
      <c r="G23" s="308"/>
      <c r="H23" s="315">
        <v>14662</v>
      </c>
      <c r="I23" s="315">
        <v>4826</v>
      </c>
      <c r="J23" s="317"/>
      <c r="K23" s="315">
        <f t="shared" si="5"/>
        <v>11139.842780306164</v>
      </c>
      <c r="L23" s="315">
        <f t="shared" si="6"/>
        <v>7627.3997386672027</v>
      </c>
      <c r="M23" s="315">
        <f t="shared" si="7"/>
        <v>7175.6472373121915</v>
      </c>
      <c r="N23" s="315">
        <f t="shared" si="7"/>
        <v>2010.1632789070311</v>
      </c>
      <c r="O23" s="321"/>
      <c r="P23" s="315">
        <f t="shared" si="8"/>
        <v>7175.6472373121915</v>
      </c>
      <c r="Q23" s="315">
        <f t="shared" si="8"/>
        <v>2010.1632789070311</v>
      </c>
    </row>
    <row r="24" spans="1:23" s="3" customFormat="1" x14ac:dyDescent="0.3">
      <c r="A24" s="20"/>
      <c r="B24" s="282" t="str">
        <f>CHOOSE(LanguagePage!$C$12,LanguagePage!$C40,LanguagePage!$D40)</f>
        <v>Активы по текущему налогу на прибыль</v>
      </c>
      <c r="C24" s="315">
        <v>26</v>
      </c>
      <c r="D24" s="315">
        <v>68</v>
      </c>
      <c r="E24" s="315">
        <v>29</v>
      </c>
      <c r="F24" s="315">
        <v>51</v>
      </c>
      <c r="G24" s="308"/>
      <c r="H24" s="315">
        <v>29</v>
      </c>
      <c r="I24" s="315">
        <v>51</v>
      </c>
      <c r="J24" s="317"/>
      <c r="K24" s="315">
        <f t="shared" si="5"/>
        <v>13.446421183285064</v>
      </c>
      <c r="L24" s="315">
        <f t="shared" si="6"/>
        <v>34.174288873253595</v>
      </c>
      <c r="M24" s="315">
        <f t="shared" si="7"/>
        <v>14.192727450692509</v>
      </c>
      <c r="N24" s="315">
        <f t="shared" si="7"/>
        <v>21.242919026991004</v>
      </c>
      <c r="O24" s="321"/>
      <c r="P24" s="315">
        <f t="shared" si="8"/>
        <v>14.192727450692509</v>
      </c>
      <c r="Q24" s="315">
        <f t="shared" si="8"/>
        <v>21.242919026991004</v>
      </c>
    </row>
    <row r="25" spans="1:23" s="3" customFormat="1" x14ac:dyDescent="0.3">
      <c r="A25" s="20"/>
      <c r="B25" s="282" t="str">
        <f>CHOOSE(LanguagePage!$C$12,LanguagePage!$C41,LanguagePage!$D41)</f>
        <v>Кредиты выданные</v>
      </c>
      <c r="C25" s="315">
        <v>29382</v>
      </c>
      <c r="D25" s="315">
        <v>28565</v>
      </c>
      <c r="E25" s="315">
        <v>20921</v>
      </c>
      <c r="F25" s="315">
        <v>16978</v>
      </c>
      <c r="G25" s="308"/>
      <c r="H25" s="315">
        <v>20921</v>
      </c>
      <c r="I25" s="315">
        <v>16978</v>
      </c>
      <c r="J25" s="317"/>
      <c r="K25" s="315">
        <f t="shared" si="5"/>
        <v>15195.490277203144</v>
      </c>
      <c r="L25" s="315">
        <f t="shared" si="6"/>
        <v>14355.714142124836</v>
      </c>
      <c r="M25" s="315">
        <f t="shared" si="7"/>
        <v>10238.829344687516</v>
      </c>
      <c r="N25" s="315">
        <f t="shared" si="7"/>
        <v>7071.8093968677113</v>
      </c>
      <c r="O25" s="321"/>
      <c r="P25" s="315">
        <f t="shared" si="8"/>
        <v>10238.829344687516</v>
      </c>
      <c r="Q25" s="315">
        <f>I25/Q$5</f>
        <v>7071.8093968677113</v>
      </c>
    </row>
    <row r="26" spans="1:23" s="3" customFormat="1" x14ac:dyDescent="0.3">
      <c r="A26" s="20"/>
      <c r="B26" s="282" t="str">
        <f>CHOOSE(LanguagePage!$C$12,LanguagePage!$C42,LanguagePage!$D42)</f>
        <v>Денежные средства и их эквиваленты</v>
      </c>
      <c r="C26" s="315">
        <v>42852</v>
      </c>
      <c r="D26" s="315">
        <v>130402</v>
      </c>
      <c r="E26" s="315">
        <v>194378</v>
      </c>
      <c r="F26" s="315">
        <v>241510</v>
      </c>
      <c r="G26" s="308"/>
      <c r="H26" s="315">
        <v>194378</v>
      </c>
      <c r="I26" s="315">
        <v>241510</v>
      </c>
      <c r="J26" s="317"/>
      <c r="K26" s="315">
        <f t="shared" si="5"/>
        <v>22161.770790235831</v>
      </c>
      <c r="L26" s="315">
        <f t="shared" si="6"/>
        <v>65535.229671323752</v>
      </c>
      <c r="M26" s="315">
        <f t="shared" si="7"/>
        <v>95129.447462438213</v>
      </c>
      <c r="N26" s="315">
        <f t="shared" si="7"/>
        <v>100595.63478840387</v>
      </c>
      <c r="O26" s="321"/>
      <c r="P26" s="315">
        <f t="shared" si="8"/>
        <v>95129.447462438213</v>
      </c>
      <c r="Q26" s="315">
        <f t="shared" si="8"/>
        <v>100595.63478840387</v>
      </c>
    </row>
    <row r="27" spans="1:23" s="3" customFormat="1" x14ac:dyDescent="0.3">
      <c r="A27" s="20"/>
      <c r="B27" s="282" t="str">
        <f>CHOOSE(LanguagePage!$C$12,LanguagePage!$C43,LanguagePage!$D43)</f>
        <v>Прочие инвестиции</v>
      </c>
      <c r="C27" s="315">
        <v>38805</v>
      </c>
      <c r="D27" s="315">
        <v>15003</v>
      </c>
      <c r="E27" s="315">
        <v>23511</v>
      </c>
      <c r="F27" s="315">
        <v>3672</v>
      </c>
      <c r="G27" s="308"/>
      <c r="H27" s="315">
        <v>23511</v>
      </c>
      <c r="I27" s="315">
        <v>3672</v>
      </c>
      <c r="J27" s="317"/>
      <c r="K27" s="315">
        <f t="shared" si="5"/>
        <v>20068.783616052959</v>
      </c>
      <c r="L27" s="315">
        <f t="shared" si="6"/>
        <v>7539.9537641974066</v>
      </c>
      <c r="M27" s="315">
        <f t="shared" si="7"/>
        <v>11506.386727352812</v>
      </c>
      <c r="N27" s="315">
        <f t="shared" si="7"/>
        <v>1529.4901699433524</v>
      </c>
      <c r="O27" s="321"/>
      <c r="P27" s="315">
        <f t="shared" si="8"/>
        <v>11506.386727352812</v>
      </c>
      <c r="Q27" s="315">
        <f t="shared" si="8"/>
        <v>1529.4901699433524</v>
      </c>
    </row>
    <row r="28" spans="1:23" s="3" customFormat="1" x14ac:dyDescent="0.3">
      <c r="A28" s="20"/>
      <c r="B28" s="282" t="str">
        <f>CHOOSE(LanguagePage!$C$12,LanguagePage!$C44,LanguagePage!$D44)</f>
        <v>Активы для продажи</v>
      </c>
      <c r="C28" s="315">
        <v>0</v>
      </c>
      <c r="D28" s="315">
        <v>212</v>
      </c>
      <c r="E28" s="315">
        <v>0</v>
      </c>
      <c r="F28" s="315">
        <v>0</v>
      </c>
      <c r="G28" s="308"/>
      <c r="H28" s="315">
        <v>0</v>
      </c>
      <c r="I28" s="315">
        <v>0</v>
      </c>
      <c r="J28" s="317"/>
      <c r="K28" s="315">
        <f t="shared" si="5"/>
        <v>0</v>
      </c>
      <c r="L28" s="315">
        <f t="shared" si="6"/>
        <v>106.54337119308474</v>
      </c>
      <c r="M28" s="315">
        <f t="shared" si="7"/>
        <v>0</v>
      </c>
      <c r="N28" s="315">
        <f t="shared" si="7"/>
        <v>0</v>
      </c>
      <c r="O28" s="321"/>
      <c r="P28" s="315">
        <f t="shared" si="8"/>
        <v>0</v>
      </c>
      <c r="Q28" s="315">
        <f t="shared" si="8"/>
        <v>0</v>
      </c>
    </row>
    <row r="29" spans="1:23" s="3" customFormat="1" x14ac:dyDescent="0.3">
      <c r="A29" s="20"/>
      <c r="B29" s="368" t="str">
        <f>CHOOSE(LanguagePage!$C$12,LanguagePage!$C45,LanguagePage!$D45)</f>
        <v>Итого краткосрочные активы</v>
      </c>
      <c r="C29" s="356">
        <f>SUM(C20:C28)</f>
        <v>504886</v>
      </c>
      <c r="D29" s="356">
        <f>SUM(D20:D28)</f>
        <v>650219</v>
      </c>
      <c r="E29" s="356">
        <f>SUM(E20:E28)</f>
        <v>776312</v>
      </c>
      <c r="F29" s="356">
        <f>SUM(F20:F28)</f>
        <v>774709</v>
      </c>
      <c r="G29" s="325"/>
      <c r="H29" s="356">
        <f>SUM(H20:H28)</f>
        <v>776312</v>
      </c>
      <c r="I29" s="356">
        <f>SUM(I20:I28)</f>
        <v>768127</v>
      </c>
      <c r="J29" s="379"/>
      <c r="K29" s="356">
        <f>SUM(K20:K28)</f>
        <v>261111.91559784862</v>
      </c>
      <c r="L29" s="356">
        <f>SUM(L20:L28)</f>
        <v>326776.05789526593</v>
      </c>
      <c r="M29" s="356">
        <f>SUM(M20:M28)</f>
        <v>379930.50457593106</v>
      </c>
      <c r="N29" s="356">
        <f>SUM(N20:N28)</f>
        <v>322687.85404865054</v>
      </c>
      <c r="O29" s="321"/>
      <c r="P29" s="356">
        <f>SUM(P20:P28)</f>
        <v>379930.50457593106</v>
      </c>
      <c r="Q29" s="356">
        <f>SUM(Q20:Q28)</f>
        <v>319946.26791069651</v>
      </c>
    </row>
    <row r="30" spans="1:23" s="3" customFormat="1" x14ac:dyDescent="0.3">
      <c r="A30" s="20"/>
      <c r="B30" s="351"/>
      <c r="C30" s="325"/>
      <c r="D30" s="325"/>
      <c r="E30" s="325"/>
      <c r="F30" s="325"/>
      <c r="G30" s="325"/>
      <c r="H30" s="325"/>
      <c r="I30" s="325"/>
      <c r="J30" s="379"/>
      <c r="K30" s="325"/>
      <c r="L30" s="325"/>
      <c r="M30" s="325"/>
      <c r="N30" s="325"/>
      <c r="O30" s="321"/>
      <c r="P30" s="325"/>
      <c r="Q30" s="325"/>
    </row>
    <row r="31" spans="1:23" s="3" customFormat="1" ht="14.4" thickBot="1" x14ac:dyDescent="0.35">
      <c r="A31" s="20"/>
      <c r="B31" s="374" t="str">
        <f>CHOOSE(LanguagePage!$C$12,LanguagePage!$C47,LanguagePage!$D47)</f>
        <v>ИТОГО АКТИВЫ</v>
      </c>
      <c r="C31" s="367">
        <f>C29+C18</f>
        <v>2057933</v>
      </c>
      <c r="D31" s="367">
        <f>D29+D18</f>
        <v>2099019</v>
      </c>
      <c r="E31" s="367">
        <f>E29+E18</f>
        <v>2290387</v>
      </c>
      <c r="F31" s="367">
        <f>F29+F18</f>
        <v>2144479</v>
      </c>
      <c r="G31" s="325"/>
      <c r="H31" s="367">
        <f>H29+H18</f>
        <v>2656133</v>
      </c>
      <c r="I31" s="367">
        <f>I29+I18</f>
        <v>2506282</v>
      </c>
      <c r="J31" s="379"/>
      <c r="K31" s="367">
        <f>K29+K18</f>
        <v>1064301.3032685148</v>
      </c>
      <c r="L31" s="367">
        <f>L29+L18</f>
        <v>1054889.4361242335</v>
      </c>
      <c r="M31" s="367">
        <f>M29+M18</f>
        <v>1120925.4637106641</v>
      </c>
      <c r="N31" s="367">
        <f>N29+N18</f>
        <v>893235.17160946364</v>
      </c>
      <c r="O31" s="321"/>
      <c r="P31" s="367">
        <f>P29+P18</f>
        <v>1299923.1635100082</v>
      </c>
      <c r="Q31" s="367">
        <f>Q29+Q18</f>
        <v>1043936.1879373544</v>
      </c>
    </row>
    <row r="32" spans="1:23" s="3" customFormat="1" ht="14.4" thickTop="1" x14ac:dyDescent="0.3">
      <c r="A32" s="20"/>
      <c r="B32" s="351"/>
      <c r="C32" s="325"/>
      <c r="D32" s="325"/>
      <c r="E32" s="325"/>
      <c r="F32" s="325"/>
      <c r="G32" s="325"/>
      <c r="H32" s="325"/>
      <c r="I32" s="325"/>
      <c r="J32" s="379"/>
      <c r="K32" s="325"/>
      <c r="L32" s="325"/>
      <c r="M32" s="325"/>
      <c r="N32" s="325"/>
      <c r="O32" s="321"/>
      <c r="P32" s="325"/>
      <c r="Q32" s="325"/>
    </row>
    <row r="33" spans="1:17" s="3" customFormat="1" x14ac:dyDescent="0.3">
      <c r="A33" s="20"/>
      <c r="B33" s="10" t="str">
        <f>CHOOSE(LanguagePage!$C$12,LanguagePage!$C49,LanguagePage!$D49)</f>
        <v>КАПИТАЛ И ОБЯЗАТЕЛЬСТВА</v>
      </c>
      <c r="C33" s="325"/>
      <c r="D33" s="325"/>
      <c r="E33" s="325"/>
      <c r="F33" s="325"/>
      <c r="G33" s="325"/>
      <c r="H33" s="325"/>
      <c r="I33" s="325"/>
      <c r="J33" s="379"/>
      <c r="K33" s="325"/>
      <c r="L33" s="325"/>
      <c r="M33" s="325"/>
      <c r="N33" s="325"/>
      <c r="O33" s="321"/>
      <c r="P33" s="325"/>
      <c r="Q33" s="325"/>
    </row>
    <row r="34" spans="1:17" s="3" customFormat="1" x14ac:dyDescent="0.3">
      <c r="A34" s="20"/>
      <c r="B34" s="351"/>
      <c r="C34" s="325"/>
      <c r="D34" s="325"/>
      <c r="E34" s="325"/>
      <c r="F34" s="325"/>
      <c r="G34" s="325"/>
      <c r="H34" s="325"/>
      <c r="I34" s="325"/>
      <c r="J34" s="379"/>
      <c r="K34" s="325"/>
      <c r="L34" s="325"/>
      <c r="M34" s="325"/>
      <c r="N34" s="325"/>
      <c r="O34" s="321"/>
      <c r="P34" s="325"/>
      <c r="Q34" s="325"/>
    </row>
    <row r="35" spans="1:17" s="3" customFormat="1" x14ac:dyDescent="0.3">
      <c r="A35" s="20"/>
      <c r="B35" s="318" t="str">
        <f>CHOOSE(LanguagePage!$C$12,LanguagePage!$C51,LanguagePage!$D51)</f>
        <v>Уставный капитал</v>
      </c>
      <c r="C35" s="306">
        <v>132242</v>
      </c>
      <c r="D35" s="306">
        <v>60</v>
      </c>
      <c r="E35" s="306">
        <v>60</v>
      </c>
      <c r="F35" s="306">
        <v>60</v>
      </c>
      <c r="G35" s="308"/>
      <c r="H35" s="306">
        <v>60</v>
      </c>
      <c r="I35" s="306">
        <v>60</v>
      </c>
      <c r="J35" s="317"/>
      <c r="K35" s="306">
        <f>C35/K$5</f>
        <v>68391.601158460908</v>
      </c>
      <c r="L35" s="306">
        <f>D35/L$5</f>
        <v>30.15378429992964</v>
      </c>
      <c r="M35" s="306">
        <f>E35/M$5</f>
        <v>29.364263691087949</v>
      </c>
      <c r="N35" s="306">
        <f>F35/N$5</f>
        <v>24.99166944351883</v>
      </c>
      <c r="O35" s="321"/>
      <c r="P35" s="306">
        <f>H35/P$5</f>
        <v>29.364263691087949</v>
      </c>
      <c r="Q35" s="306">
        <f>I35/Q$5</f>
        <v>24.99166944351883</v>
      </c>
    </row>
    <row r="36" spans="1:17" s="3" customFormat="1" x14ac:dyDescent="0.3">
      <c r="A36" s="20"/>
      <c r="B36" s="318" t="str">
        <f>CHOOSE(LanguagePage!$C$12,LanguagePage!$C52,LanguagePage!$D52)</f>
        <v>Эмиссионный доход</v>
      </c>
      <c r="C36" s="306">
        <v>0</v>
      </c>
      <c r="D36" s="306">
        <v>118393</v>
      </c>
      <c r="E36" s="306">
        <v>135303</v>
      </c>
      <c r="F36" s="306">
        <v>135303</v>
      </c>
      <c r="G36" s="308"/>
      <c r="H36" s="306">
        <v>135303</v>
      </c>
      <c r="I36" s="306">
        <v>135303</v>
      </c>
      <c r="J36" s="317"/>
      <c r="K36" s="306">
        <f t="shared" ref="K36:M38" si="9">C36/K$5</f>
        <v>0</v>
      </c>
      <c r="L36" s="306">
        <f t="shared" si="9"/>
        <v>59499.949743692836</v>
      </c>
      <c r="M36" s="306">
        <f t="shared" si="9"/>
        <v>66217.882836587873</v>
      </c>
      <c r="N36" s="306">
        <f t="shared" ref="N36:N40" si="10">F36/N$5</f>
        <v>56357.464178607137</v>
      </c>
      <c r="O36" s="321"/>
      <c r="P36" s="306">
        <f>H36/P$5</f>
        <v>66217.882836587873</v>
      </c>
      <c r="Q36" s="306">
        <f t="shared" ref="Q36:Q40" si="11">I36/Q$5</f>
        <v>56357.464178607137</v>
      </c>
    </row>
    <row r="37" spans="1:17" s="3" customFormat="1" x14ac:dyDescent="0.3">
      <c r="A37" s="20"/>
      <c r="B37" s="282" t="str">
        <f>CHOOSE(LanguagePage!$C$12,LanguagePage!$C53,LanguagePage!$D53)</f>
        <v>Резерв переоценки</v>
      </c>
      <c r="C37" s="315">
        <v>355140</v>
      </c>
      <c r="D37" s="315">
        <v>238088</v>
      </c>
      <c r="E37" s="315">
        <v>288774</v>
      </c>
      <c r="F37" s="315">
        <v>274472</v>
      </c>
      <c r="G37" s="308"/>
      <c r="H37" s="315">
        <v>288774</v>
      </c>
      <c r="I37" s="315">
        <v>274472</v>
      </c>
      <c r="J37" s="317"/>
      <c r="K37" s="315">
        <f t="shared" si="9"/>
        <v>183667.76996276376</v>
      </c>
      <c r="L37" s="315">
        <f t="shared" si="9"/>
        <v>119654.23660669413</v>
      </c>
      <c r="M37" s="315">
        <f t="shared" si="9"/>
        <v>141327.26471883719</v>
      </c>
      <c r="N37" s="306">
        <f t="shared" si="10"/>
        <v>114325.224925025</v>
      </c>
      <c r="O37" s="321"/>
      <c r="P37" s="315">
        <f>H37/P$5</f>
        <v>141327.26471883719</v>
      </c>
      <c r="Q37" s="306">
        <f t="shared" si="11"/>
        <v>114325.224925025</v>
      </c>
    </row>
    <row r="38" spans="1:17" s="3" customFormat="1" x14ac:dyDescent="0.3">
      <c r="A38" s="20"/>
      <c r="B38" s="282" t="str">
        <f>CHOOSE(LanguagePage!$C$12,LanguagePage!$C54,LanguagePage!$D54)</f>
        <v xml:space="preserve">Накопленный убыток </v>
      </c>
      <c r="C38" s="315">
        <v>-304763</v>
      </c>
      <c r="D38" s="315">
        <v>-235148</v>
      </c>
      <c r="E38" s="315">
        <v>-167741</v>
      </c>
      <c r="F38" s="322">
        <v>-346852</v>
      </c>
      <c r="G38" s="308"/>
      <c r="H38" s="315">
        <v>-207730</v>
      </c>
      <c r="I38" s="315">
        <v>-424204</v>
      </c>
      <c r="J38" s="317"/>
      <c r="K38" s="315">
        <f t="shared" si="9"/>
        <v>-157614.29458005793</v>
      </c>
      <c r="L38" s="315">
        <f t="shared" si="9"/>
        <v>-118176.70117599759</v>
      </c>
      <c r="M38" s="315">
        <f t="shared" si="9"/>
        <v>-82093.182596779719</v>
      </c>
      <c r="N38" s="306">
        <f t="shared" si="10"/>
        <v>-144473.50883038988</v>
      </c>
      <c r="O38" s="321"/>
      <c r="P38" s="315">
        <f>H38/P$5</f>
        <v>-101663.97494249498</v>
      </c>
      <c r="Q38" s="306">
        <f t="shared" si="11"/>
        <v>-176692.76907697436</v>
      </c>
    </row>
    <row r="39" spans="1:17" s="3" customFormat="1" x14ac:dyDescent="0.3">
      <c r="A39" s="20"/>
      <c r="B39" s="383" t="str">
        <f>CHOOSE(LanguagePage!$C$12,LanguagePage!$C55,LanguagePage!$D55)</f>
        <v>Капитал, относимый на собственников Компании</v>
      </c>
      <c r="C39" s="380">
        <f>SUM(C35:C38)</f>
        <v>182619</v>
      </c>
      <c r="D39" s="380">
        <f>SUM(D35:D38)</f>
        <v>121393</v>
      </c>
      <c r="E39" s="380">
        <f>SUM(E35:E38)</f>
        <v>256396</v>
      </c>
      <c r="F39" s="380">
        <v>62983</v>
      </c>
      <c r="G39" s="362"/>
      <c r="H39" s="380">
        <f>SUM(H35:H38)</f>
        <v>216407</v>
      </c>
      <c r="I39" s="380">
        <f>SUM(I35:I38)</f>
        <v>-14369</v>
      </c>
      <c r="J39" s="317"/>
      <c r="K39" s="380">
        <f>SUM(K35:K38)</f>
        <v>94445.076541166723</v>
      </c>
      <c r="L39" s="380">
        <f>SUM(L35:L38)</f>
        <v>61007.63895868932</v>
      </c>
      <c r="M39" s="380">
        <f>SUM(M35:M38)</f>
        <v>125481.32922233641</v>
      </c>
      <c r="N39" s="380">
        <f>SUM(N35:N38)</f>
        <v>26234.171942685789</v>
      </c>
      <c r="O39" s="321"/>
      <c r="P39" s="380">
        <f>SUM(P35:P38)</f>
        <v>105910.53687662115</v>
      </c>
      <c r="Q39" s="380">
        <f>SUM(Q35:Q38)</f>
        <v>-5985.088303898694</v>
      </c>
    </row>
    <row r="40" spans="1:17" s="3" customFormat="1" x14ac:dyDescent="0.3">
      <c r="A40" s="20"/>
      <c r="B40" s="282" t="str">
        <f>CHOOSE(LanguagePage!$C$12,LanguagePage!$C56,LanguagePage!$D56)</f>
        <v>Неконтролирующая доля</v>
      </c>
      <c r="C40" s="315">
        <v>262</v>
      </c>
      <c r="D40" s="315">
        <v>310</v>
      </c>
      <c r="E40" s="315">
        <v>307</v>
      </c>
      <c r="F40" s="315">
        <v>178</v>
      </c>
      <c r="G40" s="308"/>
      <c r="H40" s="315">
        <v>307</v>
      </c>
      <c r="I40" s="315">
        <v>178</v>
      </c>
      <c r="J40" s="317"/>
      <c r="K40" s="315">
        <f>C40/K$5</f>
        <v>135.49855192387258</v>
      </c>
      <c r="L40" s="315">
        <f>D40/L$5</f>
        <v>155.79455221630315</v>
      </c>
      <c r="M40" s="315">
        <f>E40/M$5</f>
        <v>150.2471492194</v>
      </c>
      <c r="N40" s="315">
        <f t="shared" si="10"/>
        <v>74.141952682439197</v>
      </c>
      <c r="O40" s="321"/>
      <c r="P40" s="315">
        <f>H40/P$5</f>
        <v>150.2471492194</v>
      </c>
      <c r="Q40" s="315">
        <f t="shared" si="11"/>
        <v>74.141952682439197</v>
      </c>
    </row>
    <row r="41" spans="1:17" s="3" customFormat="1" x14ac:dyDescent="0.3">
      <c r="A41" s="20"/>
      <c r="B41" s="368" t="str">
        <f>CHOOSE(LanguagePage!$C$12,LanguagePage!$C58,LanguagePage!$D58)</f>
        <v>Итого капитал</v>
      </c>
      <c r="C41" s="356">
        <f>C39+C40</f>
        <v>182881</v>
      </c>
      <c r="D41" s="356">
        <f>D39+D40</f>
        <v>121703</v>
      </c>
      <c r="E41" s="356">
        <f>E39+E40</f>
        <v>256703</v>
      </c>
      <c r="F41" s="356">
        <f>F39+F40</f>
        <v>63161</v>
      </c>
      <c r="G41" s="325"/>
      <c r="H41" s="356">
        <f>H39+H40</f>
        <v>216714</v>
      </c>
      <c r="I41" s="356">
        <f>I39+I40</f>
        <v>-14191</v>
      </c>
      <c r="J41" s="379"/>
      <c r="K41" s="356">
        <f>K39+K40</f>
        <v>94580.575093090592</v>
      </c>
      <c r="L41" s="356">
        <f>L39+L40</f>
        <v>61163.433510905626</v>
      </c>
      <c r="M41" s="356">
        <f>M39+M40</f>
        <v>125631.57637155581</v>
      </c>
      <c r="N41" s="356">
        <f>N39+N40</f>
        <v>26308.313895368228</v>
      </c>
      <c r="O41" s="321"/>
      <c r="P41" s="356">
        <f>P39+P40</f>
        <v>106060.78402584055</v>
      </c>
      <c r="Q41" s="356">
        <f>Q39+Q40</f>
        <v>-5910.9463512162547</v>
      </c>
    </row>
    <row r="42" spans="1:17" s="3" customFormat="1" x14ac:dyDescent="0.3">
      <c r="A42" s="20"/>
      <c r="B42" s="384"/>
      <c r="C42" s="381"/>
      <c r="D42" s="381"/>
      <c r="E42" s="381"/>
      <c r="F42" s="381"/>
      <c r="G42" s="365"/>
      <c r="H42" s="381"/>
      <c r="I42" s="381"/>
      <c r="J42" s="379"/>
      <c r="K42" s="381"/>
      <c r="L42" s="381"/>
      <c r="M42" s="381"/>
      <c r="N42" s="381"/>
      <c r="O42" s="321"/>
      <c r="P42" s="381"/>
      <c r="Q42" s="381"/>
    </row>
    <row r="43" spans="1:17" s="3" customFormat="1" x14ac:dyDescent="0.3">
      <c r="A43" s="20"/>
      <c r="B43" s="318" t="str">
        <f>CHOOSE(LanguagePage!$C$12,LanguagePage!$C61,LanguagePage!$D61)</f>
        <v>Долгосрочные кредиты и займы</v>
      </c>
      <c r="C43" s="306">
        <v>808128</v>
      </c>
      <c r="D43" s="306">
        <v>1173930</v>
      </c>
      <c r="E43" s="306">
        <v>1070301</v>
      </c>
      <c r="F43" s="306">
        <v>1310951</v>
      </c>
      <c r="G43" s="308"/>
      <c r="H43" s="306">
        <v>1070301</v>
      </c>
      <c r="I43" s="306">
        <v>1310951</v>
      </c>
      <c r="J43" s="317"/>
      <c r="K43" s="306">
        <f>C43/K$5</f>
        <v>417939.59453868429</v>
      </c>
      <c r="L43" s="306">
        <f>D43/L$5</f>
        <v>589973.86672027339</v>
      </c>
      <c r="M43" s="306">
        <f>E43/M$5</f>
        <v>523810.01321391866</v>
      </c>
      <c r="N43" s="306">
        <f>F43/N$5</f>
        <v>546047.56747750752</v>
      </c>
      <c r="O43" s="321"/>
      <c r="P43" s="306">
        <f t="shared" ref="P43:Q49" si="12">H43/P$5</f>
        <v>523810.01321391866</v>
      </c>
      <c r="Q43" s="306">
        <f t="shared" si="12"/>
        <v>546047.56747750752</v>
      </c>
    </row>
    <row r="44" spans="1:17" s="3" customFormat="1" ht="13.95" customHeight="1" x14ac:dyDescent="0.3">
      <c r="A44" s="20"/>
      <c r="B44" s="282" t="str">
        <f>CHOOSE(LanguagePage!$C$12,LanguagePage!$C62,LanguagePage!$D62)</f>
        <v xml:space="preserve">Долгосрочные обязательства по финансовой аренде </v>
      </c>
      <c r="C44" s="315">
        <v>74506</v>
      </c>
      <c r="D44" s="315">
        <v>90173</v>
      </c>
      <c r="E44" s="315">
        <v>44033</v>
      </c>
      <c r="F44" s="322">
        <v>9571</v>
      </c>
      <c r="G44" s="316"/>
      <c r="H44" s="322">
        <v>44033</v>
      </c>
      <c r="I44" s="322">
        <v>9571</v>
      </c>
      <c r="J44" s="317"/>
      <c r="K44" s="315">
        <f t="shared" ref="K44:M45" si="13">C44/K$5</f>
        <v>38532.271410839887</v>
      </c>
      <c r="L44" s="315">
        <f t="shared" si="13"/>
        <v>45317.619861292595</v>
      </c>
      <c r="M44" s="315">
        <f t="shared" si="13"/>
        <v>21549.943718494593</v>
      </c>
      <c r="N44" s="315">
        <f t="shared" ref="N44:N49" si="14">F44/N$5</f>
        <v>3986.587804065312</v>
      </c>
      <c r="O44" s="321"/>
      <c r="P44" s="315">
        <f t="shared" si="12"/>
        <v>21549.943718494593</v>
      </c>
      <c r="Q44" s="315">
        <f t="shared" si="12"/>
        <v>3986.587804065312</v>
      </c>
    </row>
    <row r="45" spans="1:17" s="3" customFormat="1" ht="13.95" customHeight="1" x14ac:dyDescent="0.3">
      <c r="A45" s="20"/>
      <c r="B45" s="282" t="str">
        <f>CHOOSE(LanguagePage!$C$12,LanguagePage!$C63,LanguagePage!$D63)</f>
        <v>Долгосрочные обязательства по правам аренды</v>
      </c>
      <c r="C45" s="315">
        <v>0</v>
      </c>
      <c r="D45" s="315">
        <v>0</v>
      </c>
      <c r="E45" s="315">
        <v>0</v>
      </c>
      <c r="F45" s="322">
        <v>0</v>
      </c>
      <c r="G45" s="316"/>
      <c r="H45" s="322">
        <v>289529</v>
      </c>
      <c r="I45" s="322">
        <v>326162</v>
      </c>
      <c r="J45" s="317"/>
      <c r="K45" s="315">
        <f t="shared" si="13"/>
        <v>0</v>
      </c>
      <c r="L45" s="315">
        <f t="shared" si="13"/>
        <v>0</v>
      </c>
      <c r="M45" s="315">
        <f t="shared" si="13"/>
        <v>0</v>
      </c>
      <c r="N45" s="315">
        <f t="shared" si="14"/>
        <v>0</v>
      </c>
      <c r="O45" s="321"/>
      <c r="P45" s="315">
        <f t="shared" si="12"/>
        <v>141696.76503695003</v>
      </c>
      <c r="Q45" s="315">
        <f t="shared" si="12"/>
        <v>135855.54815061647</v>
      </c>
    </row>
    <row r="46" spans="1:17" s="3" customFormat="1" ht="13.95" customHeight="1" x14ac:dyDescent="0.3">
      <c r="A46" s="20"/>
      <c r="B46" s="375" t="str">
        <f>CHOOSE(LanguagePage!$C$12,LanguagePage!$C76,LanguagePage!$D76)</f>
        <v>Производные финансовые инструменты</v>
      </c>
      <c r="C46" s="315"/>
      <c r="D46" s="315"/>
      <c r="E46" s="315">
        <v>0</v>
      </c>
      <c r="F46" s="322">
        <v>12401</v>
      </c>
      <c r="G46" s="316"/>
      <c r="H46" s="322">
        <v>0</v>
      </c>
      <c r="I46" s="322">
        <v>12401</v>
      </c>
      <c r="J46" s="317"/>
      <c r="K46" s="315"/>
      <c r="L46" s="315"/>
      <c r="M46" s="315"/>
      <c r="N46" s="315">
        <f t="shared" si="14"/>
        <v>5165.3615461512836</v>
      </c>
      <c r="O46" s="321"/>
      <c r="P46" s="315"/>
      <c r="Q46" s="315">
        <f t="shared" si="12"/>
        <v>5165.3615461512836</v>
      </c>
    </row>
    <row r="47" spans="1:17" s="3" customFormat="1" x14ac:dyDescent="0.3">
      <c r="A47" s="20"/>
      <c r="B47" s="282" t="str">
        <f>CHOOSE(LanguagePage!$C$12,LanguagePage!$C64,LanguagePage!$D64)</f>
        <v>Доходы будущих периодов</v>
      </c>
      <c r="C47" s="315">
        <v>4693</v>
      </c>
      <c r="D47" s="315">
        <v>3033</v>
      </c>
      <c r="E47" s="315">
        <v>3907</v>
      </c>
      <c r="F47" s="315">
        <v>3434</v>
      </c>
      <c r="G47" s="308"/>
      <c r="H47" s="315">
        <v>3907</v>
      </c>
      <c r="I47" s="315">
        <v>3434</v>
      </c>
      <c r="J47" s="317"/>
      <c r="K47" s="315">
        <f t="shared" ref="K47:M49" si="15">C47/K$5</f>
        <v>2427.0790235829541</v>
      </c>
      <c r="L47" s="315">
        <f t="shared" si="15"/>
        <v>1524.2737963614434</v>
      </c>
      <c r="M47" s="315">
        <f t="shared" si="15"/>
        <v>1912.1029706846768</v>
      </c>
      <c r="N47" s="315">
        <f t="shared" si="14"/>
        <v>1430.3565478173944</v>
      </c>
      <c r="O47" s="321"/>
      <c r="P47" s="315">
        <f t="shared" si="12"/>
        <v>1912.1029706846768</v>
      </c>
      <c r="Q47" s="315">
        <f t="shared" si="12"/>
        <v>1430.3565478173944</v>
      </c>
    </row>
    <row r="48" spans="1:17" s="3" customFormat="1" x14ac:dyDescent="0.3">
      <c r="A48" s="20"/>
      <c r="B48" s="282" t="str">
        <f>CHOOSE(LanguagePage!$C$12,LanguagePage!$C65,LanguagePage!$D65)</f>
        <v>Отложенные налоговые обязательства</v>
      </c>
      <c r="C48" s="315">
        <v>724</v>
      </c>
      <c r="D48" s="315">
        <v>1526</v>
      </c>
      <c r="E48" s="315">
        <v>1506</v>
      </c>
      <c r="F48" s="315">
        <v>1361</v>
      </c>
      <c r="G48" s="308"/>
      <c r="H48" s="315">
        <v>1506</v>
      </c>
      <c r="I48" s="315">
        <v>1361</v>
      </c>
      <c r="J48" s="317"/>
      <c r="K48" s="315">
        <f t="shared" si="15"/>
        <v>374.43111294993793</v>
      </c>
      <c r="L48" s="315">
        <f t="shared" si="15"/>
        <v>766.91124736154381</v>
      </c>
      <c r="M48" s="315">
        <f t="shared" si="15"/>
        <v>737.04301864630747</v>
      </c>
      <c r="N48" s="315">
        <f t="shared" si="14"/>
        <v>566.89436854381881</v>
      </c>
      <c r="O48" s="321"/>
      <c r="P48" s="315">
        <f t="shared" si="12"/>
        <v>737.04301864630747</v>
      </c>
      <c r="Q48" s="315">
        <f t="shared" si="12"/>
        <v>566.89436854381881</v>
      </c>
    </row>
    <row r="49" spans="1:17" s="3" customFormat="1" x14ac:dyDescent="0.3">
      <c r="A49" s="20"/>
      <c r="B49" s="282" t="str">
        <f>CHOOSE(LanguagePage!$C$12,LanguagePage!$C66,LanguagePage!$D66)</f>
        <v>Прочие долгосрочные обязательства</v>
      </c>
      <c r="C49" s="315">
        <v>0</v>
      </c>
      <c r="D49" s="315">
        <v>15612</v>
      </c>
      <c r="E49" s="315">
        <v>10324</v>
      </c>
      <c r="F49" s="315">
        <v>2064</v>
      </c>
      <c r="G49" s="308"/>
      <c r="H49" s="315">
        <v>10324</v>
      </c>
      <c r="I49" s="315">
        <v>2064</v>
      </c>
      <c r="J49" s="317"/>
      <c r="K49" s="315">
        <f t="shared" si="15"/>
        <v>0</v>
      </c>
      <c r="L49" s="315">
        <f t="shared" si="15"/>
        <v>7846.0146748416928</v>
      </c>
      <c r="M49" s="315">
        <f t="shared" si="15"/>
        <v>5052.6109724465332</v>
      </c>
      <c r="N49" s="315">
        <f t="shared" si="14"/>
        <v>859.71342885704769</v>
      </c>
      <c r="O49" s="321"/>
      <c r="P49" s="315">
        <f t="shared" si="12"/>
        <v>5052.6109724465332</v>
      </c>
      <c r="Q49" s="315">
        <f t="shared" si="12"/>
        <v>859.71342885704769</v>
      </c>
    </row>
    <row r="50" spans="1:17" s="3" customFormat="1" x14ac:dyDescent="0.3">
      <c r="A50" s="20"/>
      <c r="B50" s="368" t="str">
        <f>CHOOSE(LanguagePage!$C$12,LanguagePage!$C67,LanguagePage!$D67)</f>
        <v>Итого долгосрочные обязательства</v>
      </c>
      <c r="C50" s="356">
        <f>SUM(C43:C49)</f>
        <v>888051</v>
      </c>
      <c r="D50" s="356">
        <f>SUM(D43:D49)</f>
        <v>1284274</v>
      </c>
      <c r="E50" s="356">
        <f>SUM(E43:E49)</f>
        <v>1130071</v>
      </c>
      <c r="F50" s="356">
        <f>SUM(F43:F49)</f>
        <v>1339782</v>
      </c>
      <c r="G50" s="325"/>
      <c r="H50" s="356">
        <f>SUM(H43:H49)</f>
        <v>1419600</v>
      </c>
      <c r="I50" s="356">
        <f>SUM(I43:I49)</f>
        <v>1665944</v>
      </c>
      <c r="J50" s="379"/>
      <c r="K50" s="356">
        <f>SUM(K43:K49)</f>
        <v>459273.37608605705</v>
      </c>
      <c r="L50" s="356">
        <f>SUM(L43:L49)</f>
        <v>645428.68630013068</v>
      </c>
      <c r="M50" s="356">
        <f>SUM(M43:M49)</f>
        <v>553061.71389419073</v>
      </c>
      <c r="N50" s="356">
        <f>SUM(N43:N49)</f>
        <v>558056.48117294244</v>
      </c>
      <c r="O50" s="321"/>
      <c r="P50" s="356">
        <f>SUM(P43:P49)</f>
        <v>694758.47893114074</v>
      </c>
      <c r="Q50" s="356">
        <f>SUM(Q43:Q49)</f>
        <v>693912.02932355891</v>
      </c>
    </row>
    <row r="51" spans="1:17" s="3" customFormat="1" x14ac:dyDescent="0.3">
      <c r="A51" s="20"/>
      <c r="B51" s="384"/>
      <c r="C51" s="382"/>
      <c r="D51" s="382"/>
      <c r="E51" s="382"/>
      <c r="F51" s="325"/>
      <c r="G51" s="325"/>
      <c r="H51" s="382"/>
      <c r="I51" s="325"/>
      <c r="J51" s="379"/>
      <c r="K51" s="382"/>
      <c r="L51" s="382"/>
      <c r="M51" s="382"/>
      <c r="N51" s="325"/>
      <c r="O51" s="321"/>
      <c r="P51" s="382"/>
      <c r="Q51" s="325"/>
    </row>
    <row r="52" spans="1:17" s="3" customFormat="1" x14ac:dyDescent="0.3">
      <c r="A52" s="20"/>
      <c r="B52" s="318" t="str">
        <f>CHOOSE(LanguagePage!$C$12,LanguagePage!$C70,LanguagePage!$D70)</f>
        <v>Краткосрочные кредиты и займы</v>
      </c>
      <c r="C52" s="306">
        <v>373848</v>
      </c>
      <c r="D52" s="306">
        <v>0</v>
      </c>
      <c r="E52" s="306">
        <v>83027</v>
      </c>
      <c r="F52" s="306">
        <v>89704</v>
      </c>
      <c r="G52" s="308"/>
      <c r="H52" s="306">
        <v>83027</v>
      </c>
      <c r="I52" s="306">
        <v>89704</v>
      </c>
      <c r="J52" s="317"/>
      <c r="K52" s="306">
        <f>C52/K$5</f>
        <v>193342.98717418287</v>
      </c>
      <c r="L52" s="306">
        <f>D52/L$5</f>
        <v>0</v>
      </c>
      <c r="M52" s="306">
        <f>E52/M$5</f>
        <v>40633.778691332649</v>
      </c>
      <c r="N52" s="306">
        <f>F52/N$5</f>
        <v>37364.211929356883</v>
      </c>
      <c r="O52" s="321"/>
      <c r="P52" s="306">
        <f t="shared" ref="P52:Q59" si="16">H52/P$5</f>
        <v>40633.778691332649</v>
      </c>
      <c r="Q52" s="306">
        <f t="shared" si="16"/>
        <v>37364.211929356883</v>
      </c>
    </row>
    <row r="53" spans="1:17" s="3" customFormat="1" x14ac:dyDescent="0.3">
      <c r="A53" s="20"/>
      <c r="B53" s="282" t="str">
        <f>CHOOSE(LanguagePage!$C$12,LanguagePage!$C71,LanguagePage!$D71)</f>
        <v>Проценты начисленные</v>
      </c>
      <c r="C53" s="315">
        <v>7970</v>
      </c>
      <c r="D53" s="315">
        <v>11433</v>
      </c>
      <c r="E53" s="315">
        <v>11089</v>
      </c>
      <c r="F53" s="315">
        <v>19228</v>
      </c>
      <c r="G53" s="308"/>
      <c r="H53" s="315">
        <v>11089</v>
      </c>
      <c r="I53" s="315">
        <v>19228</v>
      </c>
      <c r="J53" s="317"/>
      <c r="K53" s="315">
        <f t="shared" ref="K53:M59" si="17">C53/K$5</f>
        <v>4121.8452627223833</v>
      </c>
      <c r="L53" s="315">
        <f t="shared" si="17"/>
        <v>5745.8035983515929</v>
      </c>
      <c r="M53" s="315">
        <f t="shared" si="17"/>
        <v>5427.0053345079041</v>
      </c>
      <c r="N53" s="315">
        <f t="shared" ref="N53:N59" si="18">F53/N$5</f>
        <v>8008.9970009996678</v>
      </c>
      <c r="O53" s="321"/>
      <c r="P53" s="315">
        <f t="shared" si="16"/>
        <v>5427.0053345079041</v>
      </c>
      <c r="Q53" s="315">
        <f t="shared" si="16"/>
        <v>8008.9970009996678</v>
      </c>
    </row>
    <row r="54" spans="1:17" s="3" customFormat="1" x14ac:dyDescent="0.3">
      <c r="A54" s="20"/>
      <c r="B54" s="282" t="str">
        <f>CHOOSE(LanguagePage!$C$12,LanguagePage!$C72,LanguagePage!$D72)</f>
        <v xml:space="preserve">Краткосрочные обязательства по финансовой аренде </v>
      </c>
      <c r="C54" s="315">
        <v>12487</v>
      </c>
      <c r="D54" s="315">
        <v>12490</v>
      </c>
      <c r="E54" s="315">
        <v>14349</v>
      </c>
      <c r="F54" s="315">
        <v>5834</v>
      </c>
      <c r="G54" s="308"/>
      <c r="H54" s="315">
        <v>14349</v>
      </c>
      <c r="I54" s="315">
        <v>5834</v>
      </c>
      <c r="J54" s="317"/>
      <c r="K54" s="315">
        <f t="shared" si="17"/>
        <v>6457.9023582954078</v>
      </c>
      <c r="L54" s="315">
        <f t="shared" si="17"/>
        <v>6277.0127651020202</v>
      </c>
      <c r="M54" s="315">
        <f t="shared" si="17"/>
        <v>7022.4636617236829</v>
      </c>
      <c r="N54" s="315">
        <f t="shared" si="18"/>
        <v>2430.0233255581475</v>
      </c>
      <c r="O54" s="321"/>
      <c r="P54" s="315">
        <f t="shared" si="16"/>
        <v>7022.4636617236829</v>
      </c>
      <c r="Q54" s="315">
        <f t="shared" si="16"/>
        <v>2430.0233255581475</v>
      </c>
    </row>
    <row r="55" spans="1:17" s="3" customFormat="1" x14ac:dyDescent="0.3">
      <c r="A55" s="20"/>
      <c r="B55" s="282" t="str">
        <f>CHOOSE(LanguagePage!$C$12,LanguagePage!$C73,LanguagePage!$D73)</f>
        <v>Краткосрочные обязательства по правам аренды</v>
      </c>
      <c r="C55" s="315">
        <v>0</v>
      </c>
      <c r="D55" s="315">
        <v>0</v>
      </c>
      <c r="E55" s="315">
        <v>0</v>
      </c>
      <c r="F55" s="315">
        <v>0</v>
      </c>
      <c r="G55" s="308"/>
      <c r="H55" s="315">
        <v>116206</v>
      </c>
      <c r="I55" s="315">
        <v>112993</v>
      </c>
      <c r="J55" s="317"/>
      <c r="K55" s="315">
        <f t="shared" si="17"/>
        <v>0</v>
      </c>
      <c r="L55" s="315">
        <f t="shared" si="17"/>
        <v>0</v>
      </c>
      <c r="M55" s="315">
        <f t="shared" si="17"/>
        <v>0</v>
      </c>
      <c r="N55" s="315">
        <f t="shared" si="18"/>
        <v>0</v>
      </c>
      <c r="O55" s="321"/>
      <c r="P55" s="315">
        <f t="shared" si="16"/>
        <v>56871.727108109437</v>
      </c>
      <c r="Q55" s="315">
        <f t="shared" si="16"/>
        <v>47064.728423858716</v>
      </c>
    </row>
    <row r="56" spans="1:17" s="3" customFormat="1" x14ac:dyDescent="0.3">
      <c r="A56" s="20"/>
      <c r="B56" s="282" t="str">
        <f>CHOOSE(LanguagePage!$C$12,LanguagePage!$C74,LanguagePage!$D74)</f>
        <v>Торговая и прочая кредиторская задолженность</v>
      </c>
      <c r="C56" s="315">
        <v>523992</v>
      </c>
      <c r="D56" s="315">
        <v>584922</v>
      </c>
      <c r="E56" s="315">
        <v>694931</v>
      </c>
      <c r="F56" s="315">
        <v>519974</v>
      </c>
      <c r="G56" s="308"/>
      <c r="H56" s="315">
        <v>694931</v>
      </c>
      <c r="I56" s="315">
        <v>519974</v>
      </c>
      <c r="J56" s="317"/>
      <c r="K56" s="315">
        <f t="shared" si="17"/>
        <v>270992.96648738103</v>
      </c>
      <c r="L56" s="315">
        <f t="shared" si="17"/>
        <v>293960.19700472412</v>
      </c>
      <c r="M56" s="315">
        <f t="shared" si="17"/>
        <v>340102.28551852395</v>
      </c>
      <c r="N56" s="315">
        <f t="shared" si="18"/>
        <v>216583.63878707099</v>
      </c>
      <c r="O56" s="321"/>
      <c r="P56" s="315">
        <f t="shared" si="16"/>
        <v>340102.28551852395</v>
      </c>
      <c r="Q56" s="315">
        <f t="shared" si="16"/>
        <v>216583.63878707099</v>
      </c>
    </row>
    <row r="57" spans="1:17" s="3" customFormat="1" x14ac:dyDescent="0.3">
      <c r="A57" s="20"/>
      <c r="B57" s="282" t="str">
        <f>CHOOSE(LanguagePage!$C$12,LanguagePage!$C75,LanguagePage!$D75)</f>
        <v>Текущие обязательства по налогам на прибыль</v>
      </c>
      <c r="C57" s="315">
        <v>2025</v>
      </c>
      <c r="D57" s="315">
        <v>5320</v>
      </c>
      <c r="E57" s="315">
        <v>2587</v>
      </c>
      <c r="F57" s="315">
        <v>5052</v>
      </c>
      <c r="G57" s="308"/>
      <c r="H57" s="315">
        <v>2587</v>
      </c>
      <c r="I57" s="315">
        <v>5052</v>
      </c>
      <c r="J57" s="317"/>
      <c r="K57" s="315">
        <f t="shared" si="17"/>
        <v>1047.2693421597021</v>
      </c>
      <c r="L57" s="315">
        <f t="shared" si="17"/>
        <v>2673.635541260428</v>
      </c>
      <c r="M57" s="315">
        <f t="shared" si="17"/>
        <v>1266.0891694807419</v>
      </c>
      <c r="N57" s="315">
        <f t="shared" si="18"/>
        <v>2104.2985671442852</v>
      </c>
      <c r="O57" s="321"/>
      <c r="P57" s="315">
        <f t="shared" si="16"/>
        <v>1266.0891694807419</v>
      </c>
      <c r="Q57" s="315">
        <f t="shared" si="16"/>
        <v>2104.2985671442852</v>
      </c>
    </row>
    <row r="58" spans="1:17" s="3" customFormat="1" x14ac:dyDescent="0.3">
      <c r="A58" s="20"/>
      <c r="B58" s="282" t="str">
        <f>CHOOSE(LanguagePage!$C$12,LanguagePage!$C77,LanguagePage!$D77)</f>
        <v>Доходы будущих периодов</v>
      </c>
      <c r="C58" s="315">
        <v>2921</v>
      </c>
      <c r="D58" s="315">
        <v>2427</v>
      </c>
      <c r="E58" s="315">
        <v>771</v>
      </c>
      <c r="F58" s="315">
        <v>902</v>
      </c>
      <c r="G58" s="308"/>
      <c r="H58" s="315">
        <v>771</v>
      </c>
      <c r="I58" s="315">
        <v>902</v>
      </c>
      <c r="J58" s="317"/>
      <c r="K58" s="315">
        <f t="shared" si="17"/>
        <v>1510.6537029375258</v>
      </c>
      <c r="L58" s="315">
        <f t="shared" si="17"/>
        <v>1219.720574932154</v>
      </c>
      <c r="M58" s="315">
        <f t="shared" si="17"/>
        <v>377.33078843048014</v>
      </c>
      <c r="N58" s="315">
        <f t="shared" si="18"/>
        <v>375.70809730089974</v>
      </c>
      <c r="O58" s="321"/>
      <c r="P58" s="315">
        <f t="shared" si="16"/>
        <v>377.33078843048014</v>
      </c>
      <c r="Q58" s="315">
        <f t="shared" si="16"/>
        <v>375.70809730089974</v>
      </c>
    </row>
    <row r="59" spans="1:17" s="3" customFormat="1" x14ac:dyDescent="0.3">
      <c r="A59" s="20"/>
      <c r="B59" s="282" t="str">
        <f>CHOOSE(LanguagePage!$C$12,LanguagePage!$C78,LanguagePage!$D78)</f>
        <v>Прочие краткосрочные обязательства</v>
      </c>
      <c r="C59" s="315">
        <v>63758</v>
      </c>
      <c r="D59" s="315">
        <v>76450</v>
      </c>
      <c r="E59" s="315">
        <v>96859</v>
      </c>
      <c r="F59" s="315">
        <v>100842</v>
      </c>
      <c r="G59" s="308"/>
      <c r="H59" s="315">
        <v>96859</v>
      </c>
      <c r="I59" s="315">
        <v>100842</v>
      </c>
      <c r="J59" s="317"/>
      <c r="K59" s="315">
        <f t="shared" si="17"/>
        <v>32973.727761688046</v>
      </c>
      <c r="L59" s="315">
        <f t="shared" si="17"/>
        <v>38420.946828827015</v>
      </c>
      <c r="M59" s="315">
        <f t="shared" si="17"/>
        <v>47403.220280918125</v>
      </c>
      <c r="N59" s="315">
        <f t="shared" si="18"/>
        <v>42003.498833722093</v>
      </c>
      <c r="O59" s="321"/>
      <c r="P59" s="315">
        <f t="shared" si="16"/>
        <v>47403.220280918125</v>
      </c>
      <c r="Q59" s="315">
        <f t="shared" si="16"/>
        <v>42003.498833722093</v>
      </c>
    </row>
    <row r="60" spans="1:17" s="3" customFormat="1" x14ac:dyDescent="0.3">
      <c r="A60" s="20"/>
      <c r="B60" s="368" t="str">
        <f>CHOOSE(LanguagePage!$C$12,LanguagePage!$C79,LanguagePage!$D79)</f>
        <v>Итого краткосрочные обязательства</v>
      </c>
      <c r="C60" s="356">
        <f>SUM(C52:C59)</f>
        <v>987001</v>
      </c>
      <c r="D60" s="356">
        <f>SUM(D52:D59)</f>
        <v>693042</v>
      </c>
      <c r="E60" s="356">
        <f>SUM(E52:E59)</f>
        <v>903613</v>
      </c>
      <c r="F60" s="356">
        <f>SUM(F52:F59)</f>
        <v>741536</v>
      </c>
      <c r="G60" s="325"/>
      <c r="H60" s="356">
        <f>SUM(H52:H59)</f>
        <v>1019819</v>
      </c>
      <c r="I60" s="356">
        <f>SUM(I52:I59)</f>
        <v>854529</v>
      </c>
      <c r="J60" s="379"/>
      <c r="K60" s="356">
        <f>SUM(K52:K59)</f>
        <v>510447.35208936693</v>
      </c>
      <c r="L60" s="356">
        <f>SUM(L52:L59)</f>
        <v>348297.31631319737</v>
      </c>
      <c r="M60" s="356">
        <f>SUM(M52:M59)</f>
        <v>442232.17344491748</v>
      </c>
      <c r="N60" s="356">
        <f>SUM(N52:N59)</f>
        <v>308870.37654115295</v>
      </c>
      <c r="O60" s="321"/>
      <c r="P60" s="356">
        <f>SUM(P52:P59)</f>
        <v>499103.90055302694</v>
      </c>
      <c r="Q60" s="356">
        <f>SUM(Q52:Q59)</f>
        <v>355935.10496501165</v>
      </c>
    </row>
    <row r="61" spans="1:17" s="3" customFormat="1" x14ac:dyDescent="0.3">
      <c r="A61" s="20"/>
      <c r="B61" s="351"/>
      <c r="C61" s="325"/>
      <c r="D61" s="325"/>
      <c r="E61" s="325"/>
      <c r="F61" s="325"/>
      <c r="G61" s="325"/>
      <c r="H61" s="325"/>
      <c r="I61" s="325"/>
      <c r="J61" s="379"/>
      <c r="K61" s="325"/>
      <c r="L61" s="325"/>
      <c r="M61" s="325"/>
      <c r="N61" s="325"/>
      <c r="O61" s="321"/>
      <c r="P61" s="325"/>
      <c r="Q61" s="325"/>
    </row>
    <row r="62" spans="1:17" s="3" customFormat="1" x14ac:dyDescent="0.3">
      <c r="A62" s="20"/>
      <c r="B62" s="368" t="str">
        <f>CHOOSE(LanguagePage!$C$12,LanguagePage!$C81,LanguagePage!$D81)</f>
        <v>Итого обязательства</v>
      </c>
      <c r="C62" s="356">
        <f>C60+C50</f>
        <v>1875052</v>
      </c>
      <c r="D62" s="356">
        <f>D60+D50</f>
        <v>1977316</v>
      </c>
      <c r="E62" s="356">
        <f>E60+E50</f>
        <v>2033684</v>
      </c>
      <c r="F62" s="356">
        <f>F60+F50</f>
        <v>2081318</v>
      </c>
      <c r="G62" s="325"/>
      <c r="H62" s="356">
        <f>H60+H50</f>
        <v>2439419</v>
      </c>
      <c r="I62" s="356">
        <f>I60+I50</f>
        <v>2520473</v>
      </c>
      <c r="J62" s="379"/>
      <c r="K62" s="356">
        <f>K60+K50</f>
        <v>969720.72817542404</v>
      </c>
      <c r="L62" s="356">
        <f>L60+L50</f>
        <v>993726.00261332805</v>
      </c>
      <c r="M62" s="356">
        <f>M60+M50</f>
        <v>995293.88733910816</v>
      </c>
      <c r="N62" s="356">
        <f>N60+N50</f>
        <v>866926.85771409539</v>
      </c>
      <c r="O62" s="321"/>
      <c r="P62" s="356">
        <f>P60+P50</f>
        <v>1193862.3794841678</v>
      </c>
      <c r="Q62" s="356">
        <f>Q60+Q50</f>
        <v>1049847.1342885706</v>
      </c>
    </row>
    <row r="63" spans="1:17" s="3" customFormat="1" x14ac:dyDescent="0.3">
      <c r="A63" s="20"/>
      <c r="B63" s="351"/>
      <c r="C63" s="325"/>
      <c r="D63" s="325"/>
      <c r="E63" s="325"/>
      <c r="F63" s="325"/>
      <c r="G63" s="325"/>
      <c r="H63" s="325"/>
      <c r="I63" s="325"/>
      <c r="J63" s="379"/>
      <c r="K63" s="325"/>
      <c r="L63" s="325"/>
      <c r="M63" s="325"/>
      <c r="N63" s="325"/>
      <c r="O63" s="321"/>
      <c r="P63" s="325"/>
      <c r="Q63" s="325"/>
    </row>
    <row r="64" spans="1:17" s="3" customFormat="1" ht="14.4" thickBot="1" x14ac:dyDescent="0.35">
      <c r="A64" s="20"/>
      <c r="B64" s="374" t="str">
        <f>CHOOSE(LanguagePage!$C$12,LanguagePage!$C83,LanguagePage!$D83)</f>
        <v>ИТОГО ОБЯЗАТЕЛЬСТВА И КАПИТАЛ</v>
      </c>
      <c r="C64" s="367">
        <f>C62+C41</f>
        <v>2057933</v>
      </c>
      <c r="D64" s="367">
        <f>D62+D41</f>
        <v>2099019</v>
      </c>
      <c r="E64" s="367">
        <f>E62+E41</f>
        <v>2290387</v>
      </c>
      <c r="F64" s="367">
        <f>F62+F41</f>
        <v>2144479</v>
      </c>
      <c r="G64" s="325"/>
      <c r="H64" s="367">
        <f>H62+H41</f>
        <v>2656133</v>
      </c>
      <c r="I64" s="367">
        <f>I62+I41</f>
        <v>2506282</v>
      </c>
      <c r="J64" s="379"/>
      <c r="K64" s="367">
        <f>K62+K41</f>
        <v>1064301.3032685146</v>
      </c>
      <c r="L64" s="367">
        <f>L62+L41</f>
        <v>1054889.4361242338</v>
      </c>
      <c r="M64" s="367">
        <f>M62+M41</f>
        <v>1120925.4637106641</v>
      </c>
      <c r="N64" s="367">
        <f>N62+N41</f>
        <v>893235.17160946364</v>
      </c>
      <c r="O64" s="321"/>
      <c r="P64" s="367">
        <f>P62+P41</f>
        <v>1299923.1635100082</v>
      </c>
      <c r="Q64" s="367">
        <f>Q62+Q41</f>
        <v>1043936.1879373543</v>
      </c>
    </row>
    <row r="65" spans="1:17" s="3" customFormat="1" ht="14.4" thickTop="1" x14ac:dyDescent="0.3">
      <c r="A65" s="20"/>
      <c r="B65" s="13"/>
      <c r="C65" s="22"/>
      <c r="D65" s="22"/>
      <c r="E65" s="22"/>
      <c r="F65" s="22"/>
      <c r="G65" s="22"/>
      <c r="H65" s="22"/>
      <c r="I65" s="22"/>
      <c r="K65" s="293"/>
      <c r="L65" s="293"/>
      <c r="M65" s="293"/>
      <c r="N65" s="293"/>
      <c r="O65" s="293"/>
      <c r="P65" s="293"/>
      <c r="Q65" s="293"/>
    </row>
    <row r="66" spans="1:17" s="3" customFormat="1" x14ac:dyDescent="0.3">
      <c r="A66" s="20"/>
      <c r="B66" s="9"/>
      <c r="C66" s="22"/>
      <c r="D66" s="22"/>
      <c r="E66" s="22"/>
      <c r="F66" s="22"/>
      <c r="G66" s="22"/>
      <c r="H66" s="22"/>
      <c r="I66" s="22"/>
      <c r="K66" s="22"/>
    </row>
    <row r="67" spans="1:17" s="3" customFormat="1" x14ac:dyDescent="0.3">
      <c r="A67" s="20"/>
      <c r="B67" s="9"/>
      <c r="C67" s="22"/>
      <c r="D67" s="22"/>
      <c r="E67" s="22"/>
      <c r="F67" s="22"/>
      <c r="G67" s="22"/>
      <c r="H67" s="22"/>
      <c r="I67" s="22"/>
      <c r="K67" s="22"/>
    </row>
    <row r="68" spans="1:17" s="3" customFormat="1" x14ac:dyDescent="0.3">
      <c r="A68" s="20"/>
      <c r="B68" s="9"/>
      <c r="C68" s="22"/>
      <c r="D68" s="22"/>
      <c r="E68" s="22"/>
      <c r="F68" s="22"/>
      <c r="G68" s="22"/>
      <c r="H68" s="22"/>
      <c r="I68" s="22"/>
      <c r="K68" s="22"/>
    </row>
    <row r="69" spans="1:17" s="3" customFormat="1" x14ac:dyDescent="0.3">
      <c r="A69" s="38"/>
      <c r="B69" s="4"/>
      <c r="C69" s="22"/>
      <c r="D69" s="22"/>
      <c r="E69" s="22"/>
      <c r="F69" s="22"/>
      <c r="G69" s="22"/>
      <c r="H69" s="22"/>
      <c r="I69" s="22"/>
      <c r="K69" s="22"/>
    </row>
    <row r="70" spans="1:17" s="3" customFormat="1" x14ac:dyDescent="0.3">
      <c r="A70" s="38"/>
      <c r="B70" s="4"/>
      <c r="C70" s="22"/>
      <c r="D70" s="22"/>
      <c r="E70" s="22"/>
      <c r="F70" s="22"/>
      <c r="G70" s="22"/>
      <c r="H70" s="22"/>
      <c r="I70" s="22"/>
      <c r="K70" s="22"/>
    </row>
    <row r="71" spans="1:17" x14ac:dyDescent="0.3">
      <c r="C71" s="23"/>
      <c r="D71" s="23"/>
      <c r="E71" s="23"/>
      <c r="F71" s="23"/>
      <c r="G71" s="23"/>
      <c r="H71" s="23"/>
      <c r="I71" s="23"/>
      <c r="K71" s="23"/>
    </row>
  </sheetData>
  <mergeCells count="5">
    <mergeCell ref="B2:H2"/>
    <mergeCell ref="C4:I4"/>
    <mergeCell ref="K4:Q4"/>
    <mergeCell ref="C5:F5"/>
    <mergeCell ref="H5:I5"/>
  </mergeCells>
  <hyperlinks>
    <hyperlink ref="B4" location="Contents!A1" display="Contents!A1" xr:uid="{00000000-0004-0000-0500-000000000000}"/>
    <hyperlink ref="Q2" location="Contents!A1" display="Contents!A1" xr:uid="{00000000-0004-0000-0500-000001000000}"/>
  </hyperlinks>
  <pageMargins left="0.7" right="0.7" top="0.75" bottom="0.75" header="0.3" footer="0.3"/>
  <pageSetup paperSize="9" orientation="portrait" r:id="rId1"/>
  <ignoredErrors>
    <ignoredError sqref="K39:L3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B77"/>
  <sheetViews>
    <sheetView showGridLines="0" zoomScale="70" zoomScaleNormal="70" workbookViewId="0">
      <pane ySplit="6" topLeftCell="A7" activePane="bottomLeft" state="frozen"/>
      <selection activeCell="B27" sqref="B27"/>
      <selection pane="bottomLeft"/>
    </sheetView>
  </sheetViews>
  <sheetFormatPr defaultColWidth="9.109375" defaultRowHeight="13.8" x14ac:dyDescent="0.3"/>
  <cols>
    <col min="1" max="1" width="6" style="36" customWidth="1"/>
    <col min="2" max="2" width="74.6640625" style="2" customWidth="1"/>
    <col min="3" max="9" width="10.21875" style="1" customWidth="1"/>
    <col min="10" max="10" width="3.5546875" style="263" customWidth="1"/>
    <col min="11" max="12" width="10.21875" style="1" customWidth="1"/>
    <col min="13" max="13" width="9.109375" style="1"/>
    <col min="14" max="20" width="10.21875" style="1" customWidth="1"/>
    <col min="21" max="21" width="3.5546875" style="263" customWidth="1"/>
    <col min="22" max="23" width="10.21875" style="1" customWidth="1"/>
    <col min="24" max="24" width="9.109375" style="1"/>
    <col min="25" max="25" width="6.6640625" style="1" customWidth="1"/>
    <col min="26" max="16384" width="9.109375" style="1"/>
  </cols>
  <sheetData>
    <row r="1" spans="1:23" ht="14.1" customHeight="1" x14ac:dyDescent="0.3">
      <c r="B1" s="123"/>
      <c r="C1" s="123"/>
      <c r="D1" s="123"/>
      <c r="E1" s="123"/>
      <c r="F1" s="123"/>
      <c r="G1" s="123"/>
      <c r="H1" s="123"/>
      <c r="I1" s="123"/>
      <c r="J1" s="261"/>
      <c r="K1" s="123"/>
      <c r="L1" s="123"/>
      <c r="N1" s="27"/>
    </row>
    <row r="2" spans="1:23" ht="14.1" customHeight="1" x14ac:dyDescent="0.3">
      <c r="B2" s="465" t="str">
        <f>IF(LanguagePage!$C$92=1,LanguagePage!$C$89,LanguagePage!$C$90)</f>
        <v>ОТЧЕТ О ДВИЖЕНИИ ДЕНЕЖНЫХ СРЕДСТВ</v>
      </c>
      <c r="C2" s="465"/>
      <c r="D2" s="465"/>
      <c r="E2" s="465"/>
      <c r="F2" s="223"/>
      <c r="G2" s="249"/>
      <c r="H2" s="259"/>
      <c r="I2" s="295"/>
      <c r="J2" s="262"/>
      <c r="K2" s="259"/>
      <c r="L2" s="295"/>
      <c r="N2" s="27"/>
      <c r="W2" s="211" t="str">
        <f>Contents!$B$2</f>
        <v>СОДЕРЖАНИЕ</v>
      </c>
    </row>
    <row r="3" spans="1:23" ht="14.1" customHeight="1" x14ac:dyDescent="0.3"/>
    <row r="4" spans="1:23" ht="14.1" customHeight="1" x14ac:dyDescent="0.3">
      <c r="B4" s="210" t="str">
        <f>Contents!$B$4</f>
        <v>Выбор языка: РУССКИЙ</v>
      </c>
      <c r="C4" s="474" t="str">
        <f>CHOOSE(LanguagePage!$C$92,LanguagePage!$D$93,LanguagePage!$D$94)</f>
        <v>тыс. BYN</v>
      </c>
      <c r="D4" s="475"/>
      <c r="E4" s="475"/>
      <c r="F4" s="475"/>
      <c r="G4" s="475"/>
      <c r="H4" s="475"/>
      <c r="I4" s="475"/>
      <c r="J4" s="475"/>
      <c r="K4" s="475"/>
      <c r="L4" s="476"/>
      <c r="N4" s="474" t="str">
        <f>CHOOSE(LanguagePage!$C$92,LanguagePage!E93,LanguagePage!E94)</f>
        <v>тыс. USD</v>
      </c>
      <c r="O4" s="475"/>
      <c r="P4" s="475"/>
      <c r="Q4" s="475"/>
      <c r="R4" s="475"/>
      <c r="S4" s="475"/>
      <c r="T4" s="475"/>
      <c r="U4" s="475"/>
      <c r="V4" s="475"/>
      <c r="W4" s="476"/>
    </row>
    <row r="5" spans="1:23" ht="14.1" customHeight="1" x14ac:dyDescent="0.3">
      <c r="C5" s="477" t="s">
        <v>721</v>
      </c>
      <c r="D5" s="477"/>
      <c r="E5" s="477"/>
      <c r="F5" s="477"/>
      <c r="G5" s="477"/>
      <c r="H5" s="477"/>
      <c r="I5" s="477"/>
      <c r="K5" s="478" t="s">
        <v>722</v>
      </c>
      <c r="L5" s="478"/>
      <c r="N5" s="26">
        <v>1.1850000000000001</v>
      </c>
      <c r="O5" s="26">
        <v>1.586462</v>
      </c>
      <c r="P5" s="26">
        <v>1.9884999999999999</v>
      </c>
      <c r="Q5" s="26">
        <v>1.9318</v>
      </c>
      <c r="R5" s="26">
        <v>2.0366</v>
      </c>
      <c r="S5" s="26">
        <v>2.0914000000000001</v>
      </c>
      <c r="T5" s="26">
        <v>2.4348999999999998</v>
      </c>
      <c r="V5" s="26">
        <f>S5</f>
        <v>2.0914000000000001</v>
      </c>
      <c r="W5" s="26">
        <v>2.4348999999999998</v>
      </c>
    </row>
    <row r="6" spans="1:23" ht="14.1" customHeight="1" x14ac:dyDescent="0.3">
      <c r="B6" s="8"/>
      <c r="C6" s="14">
        <f>CHOOSE(LanguagePage!$C$92,LanguagePage!D$96,LanguagePage!D$97)</f>
        <v>2014</v>
      </c>
      <c r="D6" s="14">
        <f>CHOOSE(LanguagePage!$C$92,LanguagePage!E$96,LanguagePage!E$97)</f>
        <v>2015</v>
      </c>
      <c r="E6" s="14">
        <f>CHOOSE(LanguagePage!$C$92,LanguagePage!F$96,LanguagePage!F$97)</f>
        <v>2016</v>
      </c>
      <c r="F6" s="14">
        <f>CHOOSE(LanguagePage!$C$92,LanguagePage!G$96,LanguagePage!G$97)</f>
        <v>2017</v>
      </c>
      <c r="G6" s="14">
        <f>CHOOSE(LanguagePage!$C$92,LanguagePage!H$96,LanguagePage!H$97)</f>
        <v>2018</v>
      </c>
      <c r="H6" s="14">
        <f>CHOOSE(LanguagePage!$C$92,LanguagePage!I$96,LanguagePage!I$97)</f>
        <v>2019</v>
      </c>
      <c r="I6" s="14">
        <f>CHOOSE(LanguagePage!$C$92,LanguagePage!J$96,LanguagePage!J$97)</f>
        <v>2020</v>
      </c>
      <c r="J6" s="264"/>
      <c r="K6" s="255">
        <f>H6</f>
        <v>2019</v>
      </c>
      <c r="L6" s="255">
        <f>I6</f>
        <v>2020</v>
      </c>
      <c r="N6" s="14">
        <f t="shared" ref="N6:T6" si="0">C6</f>
        <v>2014</v>
      </c>
      <c r="O6" s="14">
        <f t="shared" si="0"/>
        <v>2015</v>
      </c>
      <c r="P6" s="14">
        <f t="shared" si="0"/>
        <v>2016</v>
      </c>
      <c r="Q6" s="14">
        <f t="shared" si="0"/>
        <v>2017</v>
      </c>
      <c r="R6" s="14">
        <f t="shared" si="0"/>
        <v>2018</v>
      </c>
      <c r="S6" s="14">
        <f t="shared" si="0"/>
        <v>2019</v>
      </c>
      <c r="T6" s="14">
        <f t="shared" si="0"/>
        <v>2020</v>
      </c>
      <c r="V6" s="255">
        <f>K6</f>
        <v>2019</v>
      </c>
      <c r="W6" s="255">
        <f>L6</f>
        <v>2020</v>
      </c>
    </row>
    <row r="7" spans="1:23" ht="20.399999999999999" customHeight="1" x14ac:dyDescent="0.3">
      <c r="A7" s="37"/>
      <c r="B7" s="10" t="str">
        <f>CHOOSE(LanguagePage!$C$92,LanguagePage!$C107,LanguagePage!$D107)</f>
        <v>Денежные потоки от операционной деятельности</v>
      </c>
      <c r="C7" s="19"/>
      <c r="D7" s="19"/>
      <c r="E7" s="19"/>
      <c r="F7" s="19"/>
      <c r="G7" s="19"/>
      <c r="H7" s="19"/>
      <c r="I7" s="19"/>
      <c r="J7" s="226"/>
      <c r="K7" s="19"/>
      <c r="L7" s="19"/>
      <c r="M7" s="17"/>
      <c r="N7" s="16"/>
      <c r="O7" s="16"/>
      <c r="P7" s="16"/>
      <c r="Q7" s="16"/>
      <c r="R7" s="16"/>
    </row>
    <row r="8" spans="1:23" ht="21.6" customHeight="1" x14ac:dyDescent="0.3">
      <c r="A8" s="37"/>
      <c r="B8" s="401" t="str">
        <f>CHOOSE(LanguagePage!$C$92,LanguagePage!$C108,LanguagePage!$D108)</f>
        <v xml:space="preserve">Прибыль (убыток) за период </v>
      </c>
      <c r="C8" s="385">
        <v>12771</v>
      </c>
      <c r="D8" s="385">
        <v>-334934</v>
      </c>
      <c r="E8" s="385">
        <v>-42775</v>
      </c>
      <c r="F8" s="385">
        <v>102517</v>
      </c>
      <c r="G8" s="385">
        <v>65835</v>
      </c>
      <c r="H8" s="385">
        <v>23658.1</v>
      </c>
      <c r="I8" s="385">
        <f>FY_IFRS_PL!I47</f>
        <v>-80592</v>
      </c>
      <c r="J8" s="326"/>
      <c r="K8" s="385">
        <v>42760</v>
      </c>
      <c r="L8" s="385">
        <f>FY_IFRS_PL!L50</f>
        <v>-161875</v>
      </c>
      <c r="M8" s="378"/>
      <c r="N8" s="385">
        <f t="shared" ref="N8:T8" si="1">C8/N$5</f>
        <v>10777.215189873417</v>
      </c>
      <c r="O8" s="385">
        <f t="shared" si="1"/>
        <v>-211120.08986033071</v>
      </c>
      <c r="P8" s="385">
        <f t="shared" si="1"/>
        <v>-21511.18933869751</v>
      </c>
      <c r="Q8" s="385">
        <f t="shared" si="1"/>
        <v>53068.122994098769</v>
      </c>
      <c r="R8" s="385">
        <f t="shared" si="1"/>
        <v>32325.935382500247</v>
      </c>
      <c r="S8" s="385">
        <f t="shared" si="1"/>
        <v>11312.087596825091</v>
      </c>
      <c r="T8" s="385">
        <f t="shared" si="1"/>
        <v>-33098.689884594853</v>
      </c>
      <c r="U8" s="386"/>
      <c r="V8" s="385">
        <f>K8/V$5</f>
        <v>20445.634503203593</v>
      </c>
      <c r="W8" s="385">
        <f>L8/W$5</f>
        <v>-66481.1696578915</v>
      </c>
    </row>
    <row r="9" spans="1:23" x14ac:dyDescent="0.3">
      <c r="A9" s="37"/>
      <c r="B9" s="350"/>
      <c r="C9" s="327"/>
      <c r="D9" s="327"/>
      <c r="E9" s="327"/>
      <c r="F9" s="327"/>
      <c r="G9" s="327"/>
      <c r="H9" s="327"/>
      <c r="I9" s="327"/>
      <c r="J9" s="328"/>
      <c r="K9" s="327"/>
      <c r="L9" s="327"/>
      <c r="M9" s="378"/>
      <c r="N9" s="327"/>
      <c r="O9" s="327"/>
      <c r="P9" s="327"/>
      <c r="Q9" s="327"/>
      <c r="R9" s="327"/>
      <c r="S9" s="327"/>
      <c r="T9" s="327"/>
      <c r="U9" s="386"/>
      <c r="V9" s="327"/>
      <c r="W9" s="327"/>
    </row>
    <row r="10" spans="1:23" x14ac:dyDescent="0.3">
      <c r="A10" s="37"/>
      <c r="B10" s="351" t="str">
        <f>CHOOSE(LanguagePage!$C$92,LanguagePage!$C110,LanguagePage!$D110)</f>
        <v>Корректировки на:</v>
      </c>
      <c r="C10" s="327"/>
      <c r="D10" s="327"/>
      <c r="E10" s="327"/>
      <c r="F10" s="327"/>
      <c r="G10" s="327"/>
      <c r="H10" s="327"/>
      <c r="I10" s="327"/>
      <c r="J10" s="328"/>
      <c r="K10" s="327"/>
      <c r="L10" s="327"/>
      <c r="M10" s="378"/>
      <c r="N10" s="327"/>
      <c r="O10" s="327"/>
      <c r="P10" s="327"/>
      <c r="Q10" s="327"/>
      <c r="R10" s="327"/>
      <c r="S10" s="327"/>
      <c r="T10" s="327"/>
      <c r="U10" s="386"/>
      <c r="V10" s="327"/>
      <c r="W10" s="327"/>
    </row>
    <row r="11" spans="1:23" x14ac:dyDescent="0.3">
      <c r="A11" s="37"/>
      <c r="B11" s="281" t="str">
        <f>CHOOSE(LanguagePage!$C$92,LanguagePage!$C111,LanguagePage!$D111)</f>
        <v>Расход (выгода) по налогу на прибыль</v>
      </c>
      <c r="C11" s="308">
        <v>12107</v>
      </c>
      <c r="D11" s="308">
        <v>-98607</v>
      </c>
      <c r="E11" s="308">
        <v>-6594</v>
      </c>
      <c r="F11" s="308">
        <v>14445</v>
      </c>
      <c r="G11" s="308">
        <v>32156</v>
      </c>
      <c r="H11" s="308">
        <v>50322.9</v>
      </c>
      <c r="I11" s="308">
        <f>-15105+17843</f>
        <v>2738</v>
      </c>
      <c r="J11" s="316"/>
      <c r="K11" s="308">
        <v>54516</v>
      </c>
      <c r="L11" s="308">
        <f>-15105</f>
        <v>-15105</v>
      </c>
      <c r="M11" s="313"/>
      <c r="N11" s="308">
        <f t="shared" ref="N11:N65" si="2">C11/N$5</f>
        <v>10216.877637130801</v>
      </c>
      <c r="O11" s="308">
        <f t="shared" ref="O11:O65" si="3">D11/O$5</f>
        <v>-62155.286417197509</v>
      </c>
      <c r="P11" s="308">
        <f t="shared" ref="P11:T14" si="4">E11/P$5</f>
        <v>-3316.0673874779986</v>
      </c>
      <c r="Q11" s="308">
        <f t="shared" si="4"/>
        <v>7477.482141008386</v>
      </c>
      <c r="R11" s="308">
        <f t="shared" si="4"/>
        <v>15789.060198369833</v>
      </c>
      <c r="S11" s="308">
        <f t="shared" si="4"/>
        <v>24061.824615090369</v>
      </c>
      <c r="T11" s="308">
        <f t="shared" si="4"/>
        <v>1124.481498213479</v>
      </c>
      <c r="U11" s="386"/>
      <c r="V11" s="308">
        <f t="shared" ref="V11:W14" si="5">K11/V$5</f>
        <v>26066.749545758819</v>
      </c>
      <c r="W11" s="308">
        <f t="shared" si="5"/>
        <v>-6203.540186455296</v>
      </c>
    </row>
    <row r="12" spans="1:23" x14ac:dyDescent="0.3">
      <c r="A12" s="37"/>
      <c r="B12" s="282" t="str">
        <f>CHOOSE(LanguagePage!$C$92,LanguagePage!$C112,LanguagePage!$D112)</f>
        <v>Доход по чистой монетарной позиции</v>
      </c>
      <c r="C12" s="387">
        <v>-81938</v>
      </c>
      <c r="D12" s="387">
        <v>0</v>
      </c>
      <c r="E12" s="387">
        <v>0</v>
      </c>
      <c r="F12" s="387">
        <v>0</v>
      </c>
      <c r="G12" s="387">
        <v>0</v>
      </c>
      <c r="H12" s="387">
        <v>0</v>
      </c>
      <c r="I12" s="387">
        <v>0</v>
      </c>
      <c r="J12" s="388"/>
      <c r="K12" s="387">
        <v>0</v>
      </c>
      <c r="L12" s="387">
        <v>0</v>
      </c>
      <c r="M12" s="313"/>
      <c r="N12" s="315">
        <f t="shared" si="2"/>
        <v>-69145.991561181436</v>
      </c>
      <c r="O12" s="315">
        <f t="shared" si="3"/>
        <v>0</v>
      </c>
      <c r="P12" s="315">
        <f t="shared" si="4"/>
        <v>0</v>
      </c>
      <c r="Q12" s="315">
        <f t="shared" si="4"/>
        <v>0</v>
      </c>
      <c r="R12" s="315">
        <f t="shared" si="4"/>
        <v>0</v>
      </c>
      <c r="S12" s="315">
        <f t="shared" si="4"/>
        <v>0</v>
      </c>
      <c r="T12" s="315">
        <f t="shared" si="4"/>
        <v>0</v>
      </c>
      <c r="U12" s="386"/>
      <c r="V12" s="315">
        <f t="shared" si="5"/>
        <v>0</v>
      </c>
      <c r="W12" s="315">
        <f t="shared" si="5"/>
        <v>0</v>
      </c>
    </row>
    <row r="13" spans="1:23" x14ac:dyDescent="0.3">
      <c r="A13" s="37"/>
      <c r="B13" s="282" t="str">
        <f>CHOOSE(LanguagePage!$C$92,LanguagePage!$C113,LanguagePage!$D113)</f>
        <v xml:space="preserve">Амортизация основных средств </v>
      </c>
      <c r="C13" s="387">
        <v>33921</v>
      </c>
      <c r="D13" s="387">
        <v>54812</v>
      </c>
      <c r="E13" s="387">
        <v>73742</v>
      </c>
      <c r="F13" s="387">
        <v>86109</v>
      </c>
      <c r="G13" s="387">
        <v>80887</v>
      </c>
      <c r="H13" s="387">
        <v>96266</v>
      </c>
      <c r="I13" s="387">
        <f>84067-(-5595)</f>
        <v>89662</v>
      </c>
      <c r="J13" s="388"/>
      <c r="K13" s="387">
        <v>88775</v>
      </c>
      <c r="L13" s="387">
        <f>84067</f>
        <v>84067</v>
      </c>
      <c r="M13" s="313"/>
      <c r="N13" s="315">
        <f t="shared" si="2"/>
        <v>28625.3164556962</v>
      </c>
      <c r="O13" s="315">
        <f t="shared" si="3"/>
        <v>34549.834789613618</v>
      </c>
      <c r="P13" s="315">
        <f t="shared" si="4"/>
        <v>37084.234347498117</v>
      </c>
      <c r="Q13" s="315">
        <f t="shared" si="4"/>
        <v>44574.490112848121</v>
      </c>
      <c r="R13" s="315">
        <f t="shared" si="4"/>
        <v>39716.684670529314</v>
      </c>
      <c r="S13" s="315">
        <f t="shared" si="4"/>
        <v>46029.453954288991</v>
      </c>
      <c r="T13" s="315">
        <f t="shared" si="4"/>
        <v>36823.688857858644</v>
      </c>
      <c r="U13" s="386"/>
      <c r="V13" s="315">
        <f t="shared" si="5"/>
        <v>42447.642727359664</v>
      </c>
      <c r="W13" s="315">
        <f t="shared" si="5"/>
        <v>34525.853217791286</v>
      </c>
    </row>
    <row r="14" spans="1:23" x14ac:dyDescent="0.3">
      <c r="A14" s="37"/>
      <c r="B14" s="282" t="str">
        <f>CHOOSE(LanguagePage!$C$92,LanguagePage!$C114,LanguagePage!$D114)</f>
        <v>Амортизация нематериальных активов</v>
      </c>
      <c r="C14" s="389">
        <v>66</v>
      </c>
      <c r="D14" s="389">
        <v>156</v>
      </c>
      <c r="E14" s="389">
        <v>168</v>
      </c>
      <c r="F14" s="389">
        <v>2021</v>
      </c>
      <c r="G14" s="389">
        <v>2892</v>
      </c>
      <c r="H14" s="389">
        <v>4500</v>
      </c>
      <c r="I14" s="389">
        <v>3713</v>
      </c>
      <c r="J14" s="388"/>
      <c r="K14" s="389">
        <v>4500</v>
      </c>
      <c r="L14" s="389">
        <v>3713</v>
      </c>
      <c r="M14" s="313"/>
      <c r="N14" s="315">
        <f t="shared" si="2"/>
        <v>55.696202531645568</v>
      </c>
      <c r="O14" s="315">
        <f t="shared" si="3"/>
        <v>98.332011734286738</v>
      </c>
      <c r="P14" s="315">
        <f t="shared" si="4"/>
        <v>84.485793311541372</v>
      </c>
      <c r="Q14" s="315">
        <f t="shared" si="4"/>
        <v>1046.1745522310798</v>
      </c>
      <c r="R14" s="315">
        <f t="shared" si="4"/>
        <v>1420.0137484042032</v>
      </c>
      <c r="S14" s="315">
        <f t="shared" si="4"/>
        <v>2151.6687386439703</v>
      </c>
      <c r="T14" s="315">
        <f t="shared" si="4"/>
        <v>1524.908620477227</v>
      </c>
      <c r="U14" s="386"/>
      <c r="V14" s="315">
        <f t="shared" si="5"/>
        <v>2151.6687386439703</v>
      </c>
      <c r="W14" s="315">
        <f t="shared" si="5"/>
        <v>1524.908620477227</v>
      </c>
    </row>
    <row r="15" spans="1:23" x14ac:dyDescent="0.3">
      <c r="A15" s="37"/>
      <c r="B15" s="282" t="str">
        <f>CHOOSE(LanguagePage!$C$92,LanguagePage!$C115,LanguagePage!$D115)</f>
        <v>Амортизация прав использования</v>
      </c>
      <c r="C15" s="390">
        <v>0</v>
      </c>
      <c r="D15" s="390">
        <v>0</v>
      </c>
      <c r="E15" s="390">
        <v>0</v>
      </c>
      <c r="F15" s="390">
        <v>0</v>
      </c>
      <c r="G15" s="390">
        <v>0</v>
      </c>
      <c r="H15" s="390">
        <v>0</v>
      </c>
      <c r="I15" s="390">
        <v>0</v>
      </c>
      <c r="J15" s="388"/>
      <c r="K15" s="390">
        <v>96159</v>
      </c>
      <c r="L15" s="390">
        <v>91605</v>
      </c>
      <c r="M15" s="313"/>
      <c r="N15" s="315">
        <f t="shared" si="2"/>
        <v>0</v>
      </c>
      <c r="O15" s="315">
        <f t="shared" si="3"/>
        <v>0</v>
      </c>
      <c r="P15" s="315">
        <f t="shared" ref="P15" si="6">E15/P$5</f>
        <v>0</v>
      </c>
      <c r="Q15" s="315">
        <f t="shared" ref="Q15" si="7">F15/Q$5</f>
        <v>0</v>
      </c>
      <c r="R15" s="315">
        <f t="shared" ref="R15:T20" si="8">G15/R$5</f>
        <v>0</v>
      </c>
      <c r="S15" s="315">
        <f t="shared" si="8"/>
        <v>0</v>
      </c>
      <c r="T15" s="315">
        <f t="shared" si="8"/>
        <v>0</v>
      </c>
      <c r="U15" s="386"/>
      <c r="V15" s="315">
        <f t="shared" ref="V15:W15" si="9">K15/V$5</f>
        <v>45978.292053170124</v>
      </c>
      <c r="W15" s="315">
        <f t="shared" si="9"/>
        <v>37621.668240995525</v>
      </c>
    </row>
    <row r="16" spans="1:23" x14ac:dyDescent="0.3">
      <c r="A16" s="37"/>
      <c r="B16" s="282" t="str">
        <f>CHOOSE(LanguagePage!$C$92,LanguagePage!$C116,LanguagePage!$D116)</f>
        <v>Результат от финансовой деятельности</v>
      </c>
      <c r="C16" s="315">
        <v>176972</v>
      </c>
      <c r="D16" s="315">
        <v>589819</v>
      </c>
      <c r="E16" s="315">
        <v>232882</v>
      </c>
      <c r="F16" s="315">
        <v>166592</v>
      </c>
      <c r="G16" s="315">
        <v>214361</v>
      </c>
      <c r="H16" s="315">
        <v>131020</v>
      </c>
      <c r="I16" s="315">
        <f>573761-152372</f>
        <v>421389</v>
      </c>
      <c r="J16" s="316"/>
      <c r="K16" s="315">
        <v>147837</v>
      </c>
      <c r="L16" s="315">
        <f>573761</f>
        <v>573761</v>
      </c>
      <c r="M16" s="313"/>
      <c r="N16" s="315">
        <f t="shared" si="2"/>
        <v>149343.45991561181</v>
      </c>
      <c r="O16" s="315">
        <f t="shared" si="3"/>
        <v>371782.62069939275</v>
      </c>
      <c r="P16" s="315">
        <f t="shared" ref="P16:Q20" si="10">E16/P$5</f>
        <v>117114.40784510938</v>
      </c>
      <c r="Q16" s="315">
        <f t="shared" si="10"/>
        <v>86236.670462780821</v>
      </c>
      <c r="R16" s="315">
        <f t="shared" si="8"/>
        <v>105254.34547775704</v>
      </c>
      <c r="S16" s="315">
        <f t="shared" si="8"/>
        <v>62647.030697140668</v>
      </c>
      <c r="T16" s="315">
        <f t="shared" si="8"/>
        <v>173062.13807548565</v>
      </c>
      <c r="U16" s="386"/>
      <c r="V16" s="315">
        <f t="shared" ref="V16:W19" si="11">K16/V$5</f>
        <v>70688.055847757481</v>
      </c>
      <c r="W16" s="315">
        <f t="shared" si="11"/>
        <v>235640.47804837982</v>
      </c>
    </row>
    <row r="17" spans="1:28" x14ac:dyDescent="0.3">
      <c r="A17" s="37"/>
      <c r="B17" s="282" t="str">
        <f>CHOOSE(LanguagePage!$C$92,LanguagePage!$C118,LanguagePage!$D118)</f>
        <v>Изменение в резерве под обесценение финансовых активов</v>
      </c>
      <c r="C17" s="387">
        <v>199</v>
      </c>
      <c r="D17" s="387">
        <v>937</v>
      </c>
      <c r="E17" s="387">
        <v>2419</v>
      </c>
      <c r="F17" s="387">
        <v>1774</v>
      </c>
      <c r="G17" s="387">
        <v>-6621</v>
      </c>
      <c r="H17" s="387">
        <v>-1169</v>
      </c>
      <c r="I17" s="387">
        <v>408</v>
      </c>
      <c r="J17" s="388"/>
      <c r="K17" s="387">
        <v>-1169</v>
      </c>
      <c r="L17" s="387">
        <v>408</v>
      </c>
      <c r="M17" s="313"/>
      <c r="N17" s="315">
        <f t="shared" si="2"/>
        <v>167.93248945147678</v>
      </c>
      <c r="O17" s="315">
        <f t="shared" si="3"/>
        <v>590.62240381427353</v>
      </c>
      <c r="P17" s="315">
        <f t="shared" si="10"/>
        <v>1216.4948453608247</v>
      </c>
      <c r="Q17" s="315">
        <f t="shared" si="10"/>
        <v>918.31452531317939</v>
      </c>
      <c r="R17" s="315">
        <f t="shared" si="8"/>
        <v>-3251.0065795934402</v>
      </c>
      <c r="S17" s="315">
        <f t="shared" si="8"/>
        <v>-558.95572343884476</v>
      </c>
      <c r="T17" s="315">
        <f t="shared" si="8"/>
        <v>167.56334962421457</v>
      </c>
      <c r="U17" s="386"/>
      <c r="V17" s="315">
        <f t="shared" si="11"/>
        <v>-558.95572343884476</v>
      </c>
      <c r="W17" s="315">
        <f t="shared" si="11"/>
        <v>167.56334962421457</v>
      </c>
    </row>
    <row r="18" spans="1:28" x14ac:dyDescent="0.3">
      <c r="A18" s="37"/>
      <c r="B18" s="282" t="str">
        <f>CHOOSE(LanguagePage!$C$92,LanguagePage!$C119,LanguagePage!$D119)</f>
        <v>Обесценение основных средств</v>
      </c>
      <c r="C18" s="315">
        <v>5203</v>
      </c>
      <c r="D18" s="315">
        <v>690</v>
      </c>
      <c r="E18" s="315">
        <v>6093</v>
      </c>
      <c r="F18" s="315">
        <v>193</v>
      </c>
      <c r="G18" s="315">
        <v>-3507</v>
      </c>
      <c r="H18" s="315">
        <v>1149</v>
      </c>
      <c r="I18" s="315">
        <v>-2860</v>
      </c>
      <c r="J18" s="316"/>
      <c r="K18" s="315">
        <v>1149</v>
      </c>
      <c r="L18" s="315">
        <v>-2860</v>
      </c>
      <c r="M18" s="313"/>
      <c r="N18" s="315">
        <f t="shared" si="2"/>
        <v>4390.7172995780593</v>
      </c>
      <c r="O18" s="315">
        <f t="shared" si="3"/>
        <v>434.93005190165286</v>
      </c>
      <c r="P18" s="315">
        <f t="shared" si="10"/>
        <v>3064.1186824239376</v>
      </c>
      <c r="Q18" s="315">
        <f t="shared" si="10"/>
        <v>99.906822652448497</v>
      </c>
      <c r="R18" s="315">
        <f t="shared" si="8"/>
        <v>-1721.9876264362172</v>
      </c>
      <c r="S18" s="315">
        <f t="shared" si="8"/>
        <v>549.39275126709379</v>
      </c>
      <c r="T18" s="315">
        <f t="shared" si="8"/>
        <v>-1174.5862253069943</v>
      </c>
      <c r="U18" s="386"/>
      <c r="V18" s="315">
        <f t="shared" si="11"/>
        <v>549.39275126709379</v>
      </c>
      <c r="W18" s="315">
        <f t="shared" si="11"/>
        <v>-1174.5862253069943</v>
      </c>
      <c r="Y18" s="2"/>
      <c r="Z18" s="7"/>
      <c r="AA18" s="2"/>
      <c r="AB18" s="2"/>
    </row>
    <row r="19" spans="1:28" x14ac:dyDescent="0.3">
      <c r="A19" s="37"/>
      <c r="B19" s="282" t="str">
        <f>CHOOSE(LanguagePage!$C$92,LanguagePage!$C120,LanguagePage!$D120)</f>
        <v>(Прибыль) убыток от выбытия основных средств</v>
      </c>
      <c r="C19" s="387">
        <v>515</v>
      </c>
      <c r="D19" s="387">
        <v>-1723</v>
      </c>
      <c r="E19" s="387">
        <v>-1889</v>
      </c>
      <c r="F19" s="387">
        <v>363</v>
      </c>
      <c r="G19" s="387">
        <v>-4147</v>
      </c>
      <c r="H19" s="387">
        <v>6859</v>
      </c>
      <c r="I19" s="387">
        <v>5680</v>
      </c>
      <c r="J19" s="388"/>
      <c r="K19" s="387">
        <v>6859</v>
      </c>
      <c r="L19" s="387">
        <v>5680</v>
      </c>
      <c r="M19" s="313"/>
      <c r="N19" s="315">
        <f t="shared" si="2"/>
        <v>434.59915611814341</v>
      </c>
      <c r="O19" s="315">
        <f t="shared" si="3"/>
        <v>-1086.0644629370258</v>
      </c>
      <c r="P19" s="315">
        <f t="shared" si="10"/>
        <v>-949.96228312798598</v>
      </c>
      <c r="Q19" s="315">
        <f t="shared" si="10"/>
        <v>187.90765089553784</v>
      </c>
      <c r="R19" s="315">
        <f t="shared" si="8"/>
        <v>-2036.2368653638418</v>
      </c>
      <c r="S19" s="315">
        <f t="shared" si="8"/>
        <v>3279.6213063019986</v>
      </c>
      <c r="T19" s="315">
        <f t="shared" si="8"/>
        <v>2332.7446712390656</v>
      </c>
      <c r="U19" s="386"/>
      <c r="V19" s="315">
        <f t="shared" si="11"/>
        <v>3279.6213063019986</v>
      </c>
      <c r="W19" s="315">
        <f t="shared" si="11"/>
        <v>2332.7446712390656</v>
      </c>
      <c r="Y19" s="6"/>
    </row>
    <row r="20" spans="1:28" x14ac:dyDescent="0.3">
      <c r="A20" s="37"/>
      <c r="B20" s="282" t="str">
        <f>CHOOSE(LanguagePage!$C$92,LanguagePage!$C121,LanguagePage!$D121)</f>
        <v>Доход от приобретения дочерних предприятий</v>
      </c>
      <c r="C20" s="387">
        <v>0</v>
      </c>
      <c r="D20" s="387">
        <v>0</v>
      </c>
      <c r="E20" s="387">
        <v>0</v>
      </c>
      <c r="F20" s="387">
        <v>0</v>
      </c>
      <c r="G20" s="387">
        <v>0</v>
      </c>
      <c r="H20" s="387">
        <v>0</v>
      </c>
      <c r="I20" s="387">
        <v>-4586</v>
      </c>
      <c r="J20" s="388"/>
      <c r="K20" s="387"/>
      <c r="L20" s="387">
        <v>-4586</v>
      </c>
      <c r="M20" s="313"/>
      <c r="N20" s="315">
        <f t="shared" si="2"/>
        <v>0</v>
      </c>
      <c r="O20" s="315">
        <f t="shared" si="3"/>
        <v>0</v>
      </c>
      <c r="P20" s="315">
        <f t="shared" si="10"/>
        <v>0</v>
      </c>
      <c r="Q20" s="315">
        <f t="shared" si="10"/>
        <v>0</v>
      </c>
      <c r="R20" s="315">
        <f t="shared" si="8"/>
        <v>0</v>
      </c>
      <c r="S20" s="315">
        <f t="shared" si="8"/>
        <v>0</v>
      </c>
      <c r="T20" s="315">
        <f t="shared" si="8"/>
        <v>-1883.4449053349215</v>
      </c>
      <c r="U20" s="386"/>
      <c r="V20" s="315"/>
      <c r="W20" s="315">
        <f>L20/W$5</f>
        <v>-1883.4449053349215</v>
      </c>
      <c r="Y20" s="6"/>
    </row>
    <row r="21" spans="1:28" s="3" customFormat="1" x14ac:dyDescent="0.3">
      <c r="A21" s="20"/>
      <c r="B21" s="310"/>
      <c r="C21" s="362">
        <f t="shared" ref="C21:I21" si="12">SUM(C11:C20)</f>
        <v>147045</v>
      </c>
      <c r="D21" s="362">
        <f t="shared" si="12"/>
        <v>546084</v>
      </c>
      <c r="E21" s="362">
        <f t="shared" si="12"/>
        <v>306821</v>
      </c>
      <c r="F21" s="362">
        <f t="shared" si="12"/>
        <v>271497</v>
      </c>
      <c r="G21" s="362">
        <f t="shared" si="12"/>
        <v>316021</v>
      </c>
      <c r="H21" s="362">
        <f t="shared" si="12"/>
        <v>288947.90000000002</v>
      </c>
      <c r="I21" s="362">
        <f t="shared" si="12"/>
        <v>516144</v>
      </c>
      <c r="J21" s="361"/>
      <c r="K21" s="362">
        <f>SUM(K11:K20)</f>
        <v>398626</v>
      </c>
      <c r="L21" s="362">
        <f>SUM(L11:L20)</f>
        <v>736683</v>
      </c>
      <c r="M21" s="391"/>
      <c r="N21" s="362">
        <f t="shared" ref="N21:T21" si="13">SUM(N11:N20)</f>
        <v>124088.60759493669</v>
      </c>
      <c r="O21" s="362">
        <f t="shared" si="13"/>
        <v>344214.98907632212</v>
      </c>
      <c r="P21" s="362">
        <f t="shared" si="13"/>
        <v>154297.71184309782</v>
      </c>
      <c r="Q21" s="362">
        <f t="shared" si="13"/>
        <v>140540.94626772957</v>
      </c>
      <c r="R21" s="362">
        <f t="shared" si="13"/>
        <v>155170.87302366688</v>
      </c>
      <c r="S21" s="362">
        <f t="shared" si="13"/>
        <v>138160.03633929425</v>
      </c>
      <c r="T21" s="362">
        <f t="shared" si="13"/>
        <v>211977.49394225638</v>
      </c>
      <c r="U21" s="358"/>
      <c r="V21" s="362">
        <f>SUM(V11:V20)</f>
        <v>190602.46724682031</v>
      </c>
      <c r="W21" s="362">
        <f>SUM(W11:W20)</f>
        <v>302551.64483140991</v>
      </c>
    </row>
    <row r="22" spans="1:28" s="3" customFormat="1" x14ac:dyDescent="0.3">
      <c r="A22" s="20"/>
      <c r="B22" s="310"/>
      <c r="C22" s="308"/>
      <c r="D22" s="308"/>
      <c r="E22" s="308"/>
      <c r="F22" s="308"/>
      <c r="G22" s="308"/>
      <c r="H22" s="308"/>
      <c r="I22" s="308"/>
      <c r="J22" s="316"/>
      <c r="K22" s="308"/>
      <c r="L22" s="308"/>
      <c r="M22" s="317"/>
      <c r="N22" s="308"/>
      <c r="O22" s="308"/>
      <c r="P22" s="308"/>
      <c r="Q22" s="308"/>
      <c r="R22" s="308"/>
      <c r="S22" s="321"/>
      <c r="T22" s="321"/>
      <c r="U22" s="358"/>
      <c r="V22" s="321"/>
      <c r="W22" s="321"/>
    </row>
    <row r="23" spans="1:28" s="5" customFormat="1" x14ac:dyDescent="0.3">
      <c r="A23" s="20"/>
      <c r="B23" s="351" t="str">
        <f>CHOOSE(LanguagePage!$C$92,LanguagePage!$C123,LanguagePage!$D123)</f>
        <v>Изменения:</v>
      </c>
      <c r="C23" s="308"/>
      <c r="D23" s="308"/>
      <c r="E23" s="308"/>
      <c r="F23" s="308"/>
      <c r="G23" s="308"/>
      <c r="H23" s="308"/>
      <c r="I23" s="308"/>
      <c r="J23" s="316"/>
      <c r="K23" s="308"/>
      <c r="L23" s="308"/>
      <c r="M23" s="317"/>
      <c r="N23" s="308"/>
      <c r="O23" s="308"/>
      <c r="P23" s="308"/>
      <c r="Q23" s="308"/>
      <c r="R23" s="308"/>
      <c r="S23" s="332"/>
      <c r="T23" s="332"/>
      <c r="U23" s="392"/>
      <c r="V23" s="332"/>
      <c r="W23" s="332"/>
    </row>
    <row r="24" spans="1:28" s="3" customFormat="1" x14ac:dyDescent="0.3">
      <c r="A24" s="20"/>
      <c r="B24" s="281" t="str">
        <f>CHOOSE(LanguagePage!$C$92,LanguagePage!$C124,LanguagePage!$D124)</f>
        <v>Запасы</v>
      </c>
      <c r="C24" s="308">
        <v>-70485</v>
      </c>
      <c r="D24" s="308">
        <v>29444</v>
      </c>
      <c r="E24" s="308">
        <v>-26342</v>
      </c>
      <c r="F24" s="308">
        <v>-60407</v>
      </c>
      <c r="G24" s="308">
        <v>-100371</v>
      </c>
      <c r="H24" s="308">
        <v>7106</v>
      </c>
      <c r="I24" s="308">
        <v>-79783</v>
      </c>
      <c r="J24" s="316"/>
      <c r="K24" s="308">
        <v>7106</v>
      </c>
      <c r="L24" s="308">
        <v>-79783</v>
      </c>
      <c r="M24" s="317"/>
      <c r="N24" s="308">
        <f t="shared" si="2"/>
        <v>-59481.012658227846</v>
      </c>
      <c r="O24" s="308">
        <f t="shared" si="3"/>
        <v>18559.536881438067</v>
      </c>
      <c r="P24" s="308">
        <f t="shared" ref="P24:T31" si="14">E24/P$5</f>
        <v>-13247.171234598944</v>
      </c>
      <c r="Q24" s="308">
        <f t="shared" si="14"/>
        <v>-31269.800186354696</v>
      </c>
      <c r="R24" s="308">
        <f t="shared" si="14"/>
        <v>-49283.609938132184</v>
      </c>
      <c r="S24" s="308">
        <f t="shared" si="14"/>
        <v>3397.7240126231231</v>
      </c>
      <c r="T24" s="308">
        <f t="shared" si="14"/>
        <v>-32766.438046737036</v>
      </c>
      <c r="U24" s="358"/>
      <c r="V24" s="308">
        <f t="shared" ref="V24:W33" si="15">K24/V$5</f>
        <v>3397.7240126231231</v>
      </c>
      <c r="W24" s="308">
        <f>L24/W$5</f>
        <v>-32766.438046737036</v>
      </c>
    </row>
    <row r="25" spans="1:28" s="3" customFormat="1" x14ac:dyDescent="0.3">
      <c r="A25" s="20"/>
      <c r="B25" s="282" t="str">
        <f>CHOOSE(LanguagePage!$C$92,LanguagePage!$C125,LanguagePage!$D125)</f>
        <v>Торговая и прочая дебиторская задолженность</v>
      </c>
      <c r="C25" s="315">
        <v>-17693</v>
      </c>
      <c r="D25" s="315">
        <v>-42868</v>
      </c>
      <c r="E25" s="315">
        <v>9508</v>
      </c>
      <c r="F25" s="315">
        <v>-14722</v>
      </c>
      <c r="G25" s="315">
        <v>-33413</v>
      </c>
      <c r="H25" s="315">
        <v>10566</v>
      </c>
      <c r="I25" s="315">
        <v>-4517</v>
      </c>
      <c r="J25" s="316"/>
      <c r="K25" s="315">
        <v>10566</v>
      </c>
      <c r="L25" s="315">
        <v>-4517</v>
      </c>
      <c r="M25" s="317"/>
      <c r="N25" s="315">
        <f t="shared" si="2"/>
        <v>-14930.801687763713</v>
      </c>
      <c r="O25" s="315">
        <f t="shared" si="3"/>
        <v>-27021.132557855151</v>
      </c>
      <c r="P25" s="315">
        <f t="shared" si="14"/>
        <v>4781.4935881317579</v>
      </c>
      <c r="Q25" s="315">
        <f t="shared" si="14"/>
        <v>-7620.871725851538</v>
      </c>
      <c r="R25" s="315">
        <f t="shared" si="14"/>
        <v>-16406.265344201121</v>
      </c>
      <c r="S25" s="315">
        <f t="shared" si="14"/>
        <v>5052.118198336042</v>
      </c>
      <c r="T25" s="315">
        <f t="shared" si="14"/>
        <v>-1855.1069859131794</v>
      </c>
      <c r="U25" s="358"/>
      <c r="V25" s="315">
        <f t="shared" si="15"/>
        <v>5052.118198336042</v>
      </c>
      <c r="W25" s="315">
        <f t="shared" si="15"/>
        <v>-1855.1069859131794</v>
      </c>
    </row>
    <row r="26" spans="1:28" s="3" customFormat="1" x14ac:dyDescent="0.3">
      <c r="A26" s="20"/>
      <c r="B26" s="282" t="str">
        <f>CHOOSE(LanguagePage!$C$92,LanguagePage!$C126,LanguagePage!$D126)</f>
        <v>НДС к возмещению</v>
      </c>
      <c r="C26" s="315">
        <v>-19049</v>
      </c>
      <c r="D26" s="315">
        <v>11334</v>
      </c>
      <c r="E26" s="315">
        <v>-5395</v>
      </c>
      <c r="F26" s="315">
        <v>2765</v>
      </c>
      <c r="G26" s="315">
        <v>-4224</v>
      </c>
      <c r="H26" s="315">
        <v>15015</v>
      </c>
      <c r="I26" s="315">
        <v>15576</v>
      </c>
      <c r="J26" s="316"/>
      <c r="K26" s="315">
        <v>15015</v>
      </c>
      <c r="L26" s="315">
        <v>15576</v>
      </c>
      <c r="M26" s="317"/>
      <c r="N26" s="315">
        <f t="shared" si="2"/>
        <v>-16075.105485232067</v>
      </c>
      <c r="O26" s="315">
        <f t="shared" si="3"/>
        <v>7144.1988525410625</v>
      </c>
      <c r="P26" s="315">
        <f t="shared" si="14"/>
        <v>-2713.1003268795575</v>
      </c>
      <c r="Q26" s="315">
        <f t="shared" si="14"/>
        <v>1431.3075887773061</v>
      </c>
      <c r="R26" s="315">
        <f t="shared" si="14"/>
        <v>-2074.0449769223214</v>
      </c>
      <c r="S26" s="315">
        <f t="shared" si="14"/>
        <v>7179.401357942048</v>
      </c>
      <c r="T26" s="315">
        <f t="shared" si="14"/>
        <v>6396.9772885950142</v>
      </c>
      <c r="U26" s="358"/>
      <c r="V26" s="315">
        <f t="shared" si="15"/>
        <v>7179.401357942048</v>
      </c>
      <c r="W26" s="315">
        <f t="shared" si="15"/>
        <v>6396.9772885950142</v>
      </c>
    </row>
    <row r="27" spans="1:28" s="3" customFormat="1" x14ac:dyDescent="0.3">
      <c r="A27" s="20"/>
      <c r="B27" s="282" t="str">
        <f>CHOOSE(LanguagePage!$C$92,LanguagePage!$C127,LanguagePage!$D127)</f>
        <v>Предоплаты</v>
      </c>
      <c r="C27" s="315">
        <v>-14334</v>
      </c>
      <c r="D27" s="315">
        <v>11160</v>
      </c>
      <c r="E27" s="315">
        <v>-22909</v>
      </c>
      <c r="F27" s="315">
        <v>1362</v>
      </c>
      <c r="G27" s="315">
        <v>-10428</v>
      </c>
      <c r="H27" s="315">
        <v>-4254</v>
      </c>
      <c r="I27" s="315">
        <f>-27784+7879</f>
        <v>-19905</v>
      </c>
      <c r="J27" s="316"/>
      <c r="K27" s="315">
        <v>3046</v>
      </c>
      <c r="L27" s="315">
        <f>-27784</f>
        <v>-27784</v>
      </c>
      <c r="M27" s="317"/>
      <c r="N27" s="315">
        <f t="shared" si="2"/>
        <v>-12096.202531645569</v>
      </c>
      <c r="O27" s="315">
        <f t="shared" si="3"/>
        <v>7034.5208394528199</v>
      </c>
      <c r="P27" s="315">
        <f t="shared" si="14"/>
        <v>-11520.744279607745</v>
      </c>
      <c r="Q27" s="315">
        <f t="shared" si="14"/>
        <v>705.04192980639823</v>
      </c>
      <c r="R27" s="315">
        <f t="shared" si="14"/>
        <v>-5120.2985367769816</v>
      </c>
      <c r="S27" s="315">
        <f t="shared" si="14"/>
        <v>-2034.0441809314334</v>
      </c>
      <c r="T27" s="315">
        <f t="shared" si="14"/>
        <v>-8174.8737114460555</v>
      </c>
      <c r="U27" s="358"/>
      <c r="V27" s="315">
        <f t="shared" si="15"/>
        <v>1456.4406617576742</v>
      </c>
      <c r="W27" s="315">
        <f t="shared" si="15"/>
        <v>-11410.735553821512</v>
      </c>
    </row>
    <row r="28" spans="1:28" s="3" customFormat="1" x14ac:dyDescent="0.3">
      <c r="A28" s="20"/>
      <c r="B28" s="282" t="str">
        <f>CHOOSE(LanguagePage!$C$92,LanguagePage!$C128,LanguagePage!$D128)</f>
        <v>Доходы будущих периодов</v>
      </c>
      <c r="C28" s="387">
        <v>0</v>
      </c>
      <c r="D28" s="387">
        <v>7406</v>
      </c>
      <c r="E28" s="387">
        <v>-780</v>
      </c>
      <c r="F28" s="387">
        <v>-780</v>
      </c>
      <c r="G28" s="387">
        <v>-775</v>
      </c>
      <c r="H28" s="387">
        <v>-233</v>
      </c>
      <c r="I28" s="387">
        <v>-984</v>
      </c>
      <c r="J28" s="388"/>
      <c r="K28" s="387">
        <v>-233</v>
      </c>
      <c r="L28" s="387">
        <v>-984</v>
      </c>
      <c r="M28" s="317"/>
      <c r="N28" s="315">
        <f t="shared" si="2"/>
        <v>0</v>
      </c>
      <c r="O28" s="315">
        <f t="shared" si="3"/>
        <v>4668.2492237444076</v>
      </c>
      <c r="P28" s="315">
        <f t="shared" si="14"/>
        <v>-392.25546894644208</v>
      </c>
      <c r="Q28" s="315">
        <f t="shared" si="14"/>
        <v>-403.7685060565276</v>
      </c>
      <c r="R28" s="315">
        <f t="shared" si="14"/>
        <v>-380.53618776392028</v>
      </c>
      <c r="S28" s="315">
        <f t="shared" si="14"/>
        <v>-111.40862580089892</v>
      </c>
      <c r="T28" s="315">
        <f t="shared" si="14"/>
        <v>-404.12337262310569</v>
      </c>
      <c r="U28" s="358"/>
      <c r="V28" s="315">
        <f t="shared" si="15"/>
        <v>-111.40862580089892</v>
      </c>
      <c r="W28" s="315">
        <f t="shared" si="15"/>
        <v>-404.12337262310569</v>
      </c>
    </row>
    <row r="29" spans="1:28" s="3" customFormat="1" x14ac:dyDescent="0.3">
      <c r="A29" s="20"/>
      <c r="B29" s="282" t="str">
        <f>CHOOSE(LanguagePage!$C$92,LanguagePage!$C129,LanguagePage!$D129)</f>
        <v>Торговая и прочая кредиторская задолженность</v>
      </c>
      <c r="C29" s="387">
        <v>195493</v>
      </c>
      <c r="D29" s="387">
        <v>130695</v>
      </c>
      <c r="E29" s="387">
        <v>184049</v>
      </c>
      <c r="F29" s="387">
        <v>-57202</v>
      </c>
      <c r="G29" s="387">
        <v>212703</v>
      </c>
      <c r="H29" s="387">
        <v>-8826</v>
      </c>
      <c r="I29" s="387">
        <v>-238709</v>
      </c>
      <c r="J29" s="388"/>
      <c r="K29" s="387">
        <v>-8826</v>
      </c>
      <c r="L29" s="387">
        <v>-238709</v>
      </c>
      <c r="M29" s="317"/>
      <c r="N29" s="315">
        <f t="shared" si="2"/>
        <v>164972.99578059072</v>
      </c>
      <c r="O29" s="315">
        <f t="shared" si="3"/>
        <v>82381.424830850025</v>
      </c>
      <c r="P29" s="315">
        <f t="shared" si="14"/>
        <v>92556.701030927841</v>
      </c>
      <c r="Q29" s="315">
        <f t="shared" si="14"/>
        <v>-29610.72574800704</v>
      </c>
      <c r="R29" s="315">
        <f t="shared" si="14"/>
        <v>104440.24354316018</v>
      </c>
      <c r="S29" s="315">
        <f t="shared" si="14"/>
        <v>-4220.1396193937071</v>
      </c>
      <c r="T29" s="315">
        <f t="shared" si="14"/>
        <v>-98036.469670212333</v>
      </c>
      <c r="U29" s="358"/>
      <c r="V29" s="315">
        <f t="shared" si="15"/>
        <v>-4220.1396193937071</v>
      </c>
      <c r="W29" s="315">
        <f t="shared" si="15"/>
        <v>-98036.469670212333</v>
      </c>
    </row>
    <row r="30" spans="1:28" s="3" customFormat="1" x14ac:dyDescent="0.3">
      <c r="A30" s="20"/>
      <c r="B30" s="282" t="str">
        <f>CHOOSE(LanguagePage!$C$92,LanguagePage!$C130,LanguagePage!$D130)</f>
        <v>Кредиты выданные</v>
      </c>
      <c r="C30" s="315">
        <v>-29038</v>
      </c>
      <c r="D30" s="315">
        <v>-17376</v>
      </c>
      <c r="E30" s="315">
        <v>-8444</v>
      </c>
      <c r="F30" s="315">
        <v>-379</v>
      </c>
      <c r="G30" s="315">
        <v>-22537</v>
      </c>
      <c r="H30" s="315">
        <v>10685</v>
      </c>
      <c r="I30" s="315">
        <v>16421</v>
      </c>
      <c r="J30" s="316"/>
      <c r="K30" s="315">
        <v>10685</v>
      </c>
      <c r="L30" s="315">
        <v>16421</v>
      </c>
      <c r="M30" s="317"/>
      <c r="N30" s="315">
        <f t="shared" si="2"/>
        <v>-24504.641350210968</v>
      </c>
      <c r="O30" s="315">
        <f t="shared" si="3"/>
        <v>-10952.673307019015</v>
      </c>
      <c r="P30" s="315">
        <f t="shared" si="14"/>
        <v>-4246.4168971586623</v>
      </c>
      <c r="Q30" s="315">
        <f t="shared" si="14"/>
        <v>-196.19008178900506</v>
      </c>
      <c r="R30" s="315">
        <f t="shared" si="14"/>
        <v>-11065.992340174802</v>
      </c>
      <c r="S30" s="315">
        <f t="shared" si="14"/>
        <v>5109.0178827579612</v>
      </c>
      <c r="T30" s="315">
        <f t="shared" si="14"/>
        <v>6744.0141278902629</v>
      </c>
      <c r="U30" s="358"/>
      <c r="V30" s="315">
        <f t="shared" si="15"/>
        <v>5109.0178827579612</v>
      </c>
      <c r="W30" s="315">
        <f t="shared" si="15"/>
        <v>6744.0141278902629</v>
      </c>
    </row>
    <row r="31" spans="1:28" s="3" customFormat="1" x14ac:dyDescent="0.3">
      <c r="A31" s="20"/>
      <c r="B31" s="282" t="str">
        <f>CHOOSE(LanguagePage!$C$92,LanguagePage!$C131,LanguagePage!$D131)</f>
        <v>Приобретении облигаций</v>
      </c>
      <c r="C31" s="308">
        <v>-299</v>
      </c>
      <c r="D31" s="308">
        <v>0</v>
      </c>
      <c r="E31" s="308">
        <v>-17951</v>
      </c>
      <c r="F31" s="315">
        <v>-12340</v>
      </c>
      <c r="G31" s="315">
        <v>25330</v>
      </c>
      <c r="H31" s="315">
        <v>5530</v>
      </c>
      <c r="I31" s="315">
        <v>0</v>
      </c>
      <c r="J31" s="316"/>
      <c r="K31" s="315">
        <v>5530</v>
      </c>
      <c r="L31" s="315">
        <v>0</v>
      </c>
      <c r="M31" s="317"/>
      <c r="N31" s="315">
        <f t="shared" ref="N31" si="16">C31/N$5</f>
        <v>-252.32067510548521</v>
      </c>
      <c r="O31" s="315">
        <f t="shared" ref="O31" si="17">D31/O$5</f>
        <v>0</v>
      </c>
      <c r="P31" s="315">
        <f t="shared" si="14"/>
        <v>-9027.4075936635654</v>
      </c>
      <c r="Q31" s="315">
        <f t="shared" si="14"/>
        <v>-6387.8248265866032</v>
      </c>
      <c r="R31" s="315">
        <f t="shared" si="14"/>
        <v>12437.395659432388</v>
      </c>
      <c r="S31" s="315">
        <f t="shared" si="14"/>
        <v>2644.161805489146</v>
      </c>
      <c r="T31" s="315">
        <f t="shared" si="14"/>
        <v>0</v>
      </c>
      <c r="U31" s="358"/>
      <c r="V31" s="315">
        <f t="shared" si="15"/>
        <v>2644.161805489146</v>
      </c>
      <c r="W31" s="315">
        <f t="shared" si="15"/>
        <v>0</v>
      </c>
    </row>
    <row r="32" spans="1:28" s="3" customFormat="1" x14ac:dyDescent="0.3">
      <c r="A32" s="20"/>
      <c r="B32" s="282" t="str">
        <f>CHOOSE(LanguagePage!$C$92,LanguagePage!$C132,LanguagePage!$D132)</f>
        <v>Активы для продажи</v>
      </c>
      <c r="C32" s="387">
        <v>0</v>
      </c>
      <c r="D32" s="387">
        <v>0</v>
      </c>
      <c r="E32" s="387">
        <v>0</v>
      </c>
      <c r="F32" s="315">
        <v>-87</v>
      </c>
      <c r="G32" s="315">
        <v>108</v>
      </c>
      <c r="H32" s="315">
        <v>8</v>
      </c>
      <c r="I32" s="315">
        <v>57</v>
      </c>
      <c r="J32" s="316"/>
      <c r="K32" s="315">
        <v>8</v>
      </c>
      <c r="L32" s="315">
        <v>57</v>
      </c>
      <c r="M32" s="317"/>
      <c r="N32" s="315">
        <f t="shared" ref="N32" si="18">C32/N$5</f>
        <v>0</v>
      </c>
      <c r="O32" s="315">
        <f t="shared" ref="O32" si="19">D32/O$5</f>
        <v>0</v>
      </c>
      <c r="P32" s="315">
        <f t="shared" ref="P32" si="20">E32/P$5</f>
        <v>0</v>
      </c>
      <c r="Q32" s="315">
        <f t="shared" ref="Q32:T33" si="21">F32/Q$5</f>
        <v>-45.035717983228075</v>
      </c>
      <c r="R32" s="315">
        <f t="shared" si="21"/>
        <v>53.02955906903663</v>
      </c>
      <c r="S32" s="315">
        <f t="shared" si="21"/>
        <v>3.8251888687003919</v>
      </c>
      <c r="T32" s="315">
        <f t="shared" si="21"/>
        <v>23.409585609265267</v>
      </c>
      <c r="U32" s="358"/>
      <c r="V32" s="315">
        <f t="shared" si="15"/>
        <v>3.8251888687003919</v>
      </c>
      <c r="W32" s="315">
        <f t="shared" si="15"/>
        <v>23.409585609265267</v>
      </c>
    </row>
    <row r="33" spans="1:23" s="3" customFormat="1" x14ac:dyDescent="0.3">
      <c r="A33" s="20"/>
      <c r="B33" s="282" t="str">
        <f>CHOOSE(LanguagePage!$C$92,LanguagePage!$C133,LanguagePage!$D133)</f>
        <v>Прочие краткосрочные обязательства</v>
      </c>
      <c r="C33" s="315">
        <v>15746</v>
      </c>
      <c r="D33" s="315">
        <v>7397</v>
      </c>
      <c r="E33" s="315">
        <v>9339</v>
      </c>
      <c r="F33" s="315">
        <v>18793</v>
      </c>
      <c r="G33" s="315">
        <v>19289</v>
      </c>
      <c r="H33" s="315">
        <v>24663</v>
      </c>
      <c r="I33" s="315">
        <v>3376</v>
      </c>
      <c r="J33" s="316"/>
      <c r="K33" s="315">
        <v>24663</v>
      </c>
      <c r="L33" s="315">
        <v>3376</v>
      </c>
      <c r="M33" s="317"/>
      <c r="N33" s="315">
        <f t="shared" si="2"/>
        <v>13287.763713080169</v>
      </c>
      <c r="O33" s="315">
        <f t="shared" si="3"/>
        <v>4662.5762230674291</v>
      </c>
      <c r="P33" s="315">
        <f>E33/P$5</f>
        <v>4696.5049031933622</v>
      </c>
      <c r="Q33" s="315">
        <f t="shared" si="21"/>
        <v>9728.2327363081058</v>
      </c>
      <c r="R33" s="315">
        <f t="shared" si="21"/>
        <v>9471.1774526171066</v>
      </c>
      <c r="S33" s="315">
        <f t="shared" si="21"/>
        <v>11792.57913359472</v>
      </c>
      <c r="T33" s="315">
        <f t="shared" si="21"/>
        <v>1386.5045792435008</v>
      </c>
      <c r="U33" s="358"/>
      <c r="V33" s="315">
        <f t="shared" si="15"/>
        <v>11792.57913359472</v>
      </c>
      <c r="W33" s="315">
        <f t="shared" si="15"/>
        <v>1386.5045792435008</v>
      </c>
    </row>
    <row r="34" spans="1:23" s="3" customFormat="1" x14ac:dyDescent="0.3">
      <c r="A34" s="20"/>
      <c r="B34" s="310"/>
      <c r="C34" s="325"/>
      <c r="D34" s="325"/>
      <c r="E34" s="325"/>
      <c r="F34" s="325"/>
      <c r="G34" s="325"/>
      <c r="H34" s="325"/>
      <c r="I34" s="325"/>
      <c r="J34" s="326"/>
      <c r="K34" s="325"/>
      <c r="L34" s="325"/>
      <c r="M34" s="379"/>
      <c r="N34" s="325"/>
      <c r="O34" s="325"/>
      <c r="P34" s="325"/>
      <c r="Q34" s="325"/>
      <c r="R34" s="325"/>
      <c r="S34" s="325"/>
      <c r="T34" s="325"/>
      <c r="U34" s="358"/>
      <c r="V34" s="325"/>
      <c r="W34" s="325"/>
    </row>
    <row r="35" spans="1:23" s="3" customFormat="1" x14ac:dyDescent="0.3">
      <c r="A35" s="20"/>
      <c r="B35" s="401" t="str">
        <f>CHOOSE(LanguagePage!$C$92,LanguagePage!$C136,LanguagePage!$D136)</f>
        <v>Денежные средства, полученные от операционной деятельности</v>
      </c>
      <c r="C35" s="385">
        <f t="shared" ref="C35:I35" si="22">C8+C21+SUM(C24:C33)</f>
        <v>220157</v>
      </c>
      <c r="D35" s="385">
        <f t="shared" si="22"/>
        <v>348342</v>
      </c>
      <c r="E35" s="385">
        <f t="shared" si="22"/>
        <v>385121</v>
      </c>
      <c r="F35" s="385">
        <f t="shared" si="22"/>
        <v>251017</v>
      </c>
      <c r="G35" s="385">
        <f t="shared" si="22"/>
        <v>467538</v>
      </c>
      <c r="H35" s="385">
        <f t="shared" si="22"/>
        <v>372866</v>
      </c>
      <c r="I35" s="385">
        <f t="shared" si="22"/>
        <v>127084</v>
      </c>
      <c r="J35" s="326"/>
      <c r="K35" s="385">
        <f>K8+K21+SUM(K24:K33)</f>
        <v>508946</v>
      </c>
      <c r="L35" s="385">
        <f>L8+L21+SUM(L24:L33)</f>
        <v>258461</v>
      </c>
      <c r="M35" s="379"/>
      <c r="N35" s="385">
        <f t="shared" ref="N35:S35" si="23">N8+N21+SUM(N24:N33)</f>
        <v>185786.49789029537</v>
      </c>
      <c r="O35" s="385">
        <f t="shared" si="23"/>
        <v>219571.60020221106</v>
      </c>
      <c r="P35" s="385">
        <f t="shared" si="23"/>
        <v>193674.12622579836</v>
      </c>
      <c r="Q35" s="385">
        <f t="shared" si="23"/>
        <v>129939.43472409152</v>
      </c>
      <c r="R35" s="385">
        <f t="shared" si="23"/>
        <v>229567.9072964745</v>
      </c>
      <c r="S35" s="385">
        <f t="shared" si="23"/>
        <v>178285.35908960504</v>
      </c>
      <c r="T35" s="385">
        <f>T8+T21+SUM(T24:T33)</f>
        <v>52192.697852067853</v>
      </c>
      <c r="U35" s="358"/>
      <c r="V35" s="385">
        <f>V8+V21+SUM(V24:V33)</f>
        <v>243351.82174619869</v>
      </c>
      <c r="W35" s="385">
        <f>W8+W21+SUM(W24:W33)</f>
        <v>106148.50712554929</v>
      </c>
    </row>
    <row r="36" spans="1:23" s="3" customFormat="1" x14ac:dyDescent="0.3">
      <c r="A36" s="20"/>
      <c r="B36" s="351"/>
      <c r="C36" s="325"/>
      <c r="D36" s="325"/>
      <c r="E36" s="325"/>
      <c r="F36" s="325"/>
      <c r="G36" s="325"/>
      <c r="H36" s="325"/>
      <c r="I36" s="325"/>
      <c r="J36" s="326"/>
      <c r="K36" s="325"/>
      <c r="L36" s="325"/>
      <c r="M36" s="379"/>
      <c r="N36" s="325"/>
      <c r="O36" s="325"/>
      <c r="P36" s="325"/>
      <c r="Q36" s="325"/>
      <c r="R36" s="325"/>
      <c r="S36" s="325"/>
      <c r="T36" s="325"/>
      <c r="U36" s="358"/>
      <c r="V36" s="325"/>
      <c r="W36" s="325"/>
    </row>
    <row r="37" spans="1:23" s="3" customFormat="1" x14ac:dyDescent="0.3">
      <c r="A37" s="20"/>
      <c r="B37" s="318" t="str">
        <f>CHOOSE(LanguagePage!$C$92,LanguagePage!$C137,LanguagePage!$D137)</f>
        <v>Налог на прибыль уплаченный</v>
      </c>
      <c r="C37" s="306">
        <v>-20903</v>
      </c>
      <c r="D37" s="306">
        <v>-1026</v>
      </c>
      <c r="E37" s="306">
        <v>-14003</v>
      </c>
      <c r="F37" s="306">
        <v>-11454</v>
      </c>
      <c r="G37" s="306">
        <v>-17362</v>
      </c>
      <c r="H37" s="306">
        <v>-14848</v>
      </c>
      <c r="I37" s="306">
        <v>-20944</v>
      </c>
      <c r="J37" s="316"/>
      <c r="K37" s="306">
        <v>-14848</v>
      </c>
      <c r="L37" s="306">
        <v>-20944</v>
      </c>
      <c r="M37" s="317"/>
      <c r="N37" s="306">
        <f t="shared" si="2"/>
        <v>-17639.662447257382</v>
      </c>
      <c r="O37" s="306">
        <f t="shared" si="3"/>
        <v>-646.72207717550123</v>
      </c>
      <c r="P37" s="306">
        <f>E37/P$5</f>
        <v>-7041.9914508423435</v>
      </c>
      <c r="Q37" s="306">
        <f>F37/Q$5</f>
        <v>-5929.1852158608554</v>
      </c>
      <c r="R37" s="306">
        <f>G37/R$5</f>
        <v>-8524.9926347834626</v>
      </c>
      <c r="S37" s="306">
        <f>H37/S$5</f>
        <v>-7099.5505403079269</v>
      </c>
      <c r="T37" s="306">
        <f>I37/T$5</f>
        <v>-8601.5852807096799</v>
      </c>
      <c r="U37" s="358"/>
      <c r="V37" s="306">
        <f>K37/V$5</f>
        <v>-7099.5505403079269</v>
      </c>
      <c r="W37" s="306">
        <f>L37/W$5</f>
        <v>-8601.5852807096799</v>
      </c>
    </row>
    <row r="38" spans="1:23" s="3" customFormat="1" x14ac:dyDescent="0.3">
      <c r="A38" s="20"/>
      <c r="B38" s="351"/>
      <c r="C38" s="327"/>
      <c r="D38" s="327"/>
      <c r="E38" s="327"/>
      <c r="F38" s="327"/>
      <c r="G38" s="327"/>
      <c r="H38" s="327"/>
      <c r="I38" s="327"/>
      <c r="J38" s="328"/>
      <c r="K38" s="327"/>
      <c r="L38" s="327"/>
      <c r="M38" s="379"/>
      <c r="N38" s="327"/>
      <c r="O38" s="327"/>
      <c r="P38" s="327"/>
      <c r="Q38" s="327"/>
      <c r="R38" s="327"/>
      <c r="S38" s="327"/>
      <c r="T38" s="327"/>
      <c r="U38" s="358"/>
      <c r="V38" s="327"/>
      <c r="W38" s="327"/>
    </row>
    <row r="39" spans="1:23" s="3" customFormat="1" x14ac:dyDescent="0.3">
      <c r="A39" s="20"/>
      <c r="B39" s="299" t="str">
        <f>CHOOSE(LanguagePage!$C$92,LanguagePage!$C139,LanguagePage!D139)</f>
        <v>Чистые денежные средства, полученные от операционной деятельности</v>
      </c>
      <c r="C39" s="323">
        <f t="shared" ref="C39:I39" si="24">C35+C37</f>
        <v>199254</v>
      </c>
      <c r="D39" s="323">
        <f t="shared" si="24"/>
        <v>347316</v>
      </c>
      <c r="E39" s="323">
        <f t="shared" si="24"/>
        <v>371118</v>
      </c>
      <c r="F39" s="323">
        <f t="shared" si="24"/>
        <v>239563</v>
      </c>
      <c r="G39" s="323">
        <f t="shared" si="24"/>
        <v>450176</v>
      </c>
      <c r="H39" s="323">
        <f t="shared" si="24"/>
        <v>358018</v>
      </c>
      <c r="I39" s="323">
        <f t="shared" si="24"/>
        <v>106140</v>
      </c>
      <c r="J39" s="326"/>
      <c r="K39" s="323">
        <f>K35+K37</f>
        <v>494098</v>
      </c>
      <c r="L39" s="323">
        <f>L35+L37</f>
        <v>237517</v>
      </c>
      <c r="M39" s="379"/>
      <c r="N39" s="323">
        <f t="shared" ref="N39:P39" si="25">N35+N37</f>
        <v>168146.835443038</v>
      </c>
      <c r="O39" s="323">
        <f t="shared" si="25"/>
        <v>218924.87812503555</v>
      </c>
      <c r="P39" s="323">
        <f t="shared" si="25"/>
        <v>186632.13477495601</v>
      </c>
      <c r="Q39" s="323">
        <f>Q35+Q37</f>
        <v>124010.24950823067</v>
      </c>
      <c r="R39" s="323">
        <f>R35+R37</f>
        <v>221042.91466169103</v>
      </c>
      <c r="S39" s="323">
        <f>S35+S37</f>
        <v>171185.80854929713</v>
      </c>
      <c r="T39" s="323">
        <f>T35+T37</f>
        <v>43591.112571358171</v>
      </c>
      <c r="U39" s="358"/>
      <c r="V39" s="323">
        <f>V35+V37</f>
        <v>236252.27120589078</v>
      </c>
      <c r="W39" s="323">
        <f>W35+W37</f>
        <v>97546.921844839613</v>
      </c>
    </row>
    <row r="40" spans="1:23" s="3" customFormat="1" x14ac:dyDescent="0.3">
      <c r="A40" s="20"/>
      <c r="B40" s="350"/>
      <c r="C40" s="327"/>
      <c r="D40" s="327"/>
      <c r="E40" s="327"/>
      <c r="F40" s="327"/>
      <c r="G40" s="327"/>
      <c r="H40" s="327"/>
      <c r="I40" s="327"/>
      <c r="J40" s="328"/>
      <c r="K40" s="327"/>
      <c r="L40" s="327"/>
      <c r="M40" s="379"/>
      <c r="N40" s="327"/>
      <c r="O40" s="327"/>
      <c r="P40" s="327"/>
      <c r="Q40" s="327"/>
      <c r="R40" s="327"/>
      <c r="S40" s="321"/>
      <c r="T40" s="321"/>
      <c r="U40" s="358"/>
      <c r="V40" s="321"/>
      <c r="W40" s="321"/>
    </row>
    <row r="41" spans="1:23" s="3" customFormat="1" x14ac:dyDescent="0.3">
      <c r="A41" s="20"/>
      <c r="B41" s="10" t="str">
        <f>CHOOSE(LanguagePage!$C$92,LanguagePage!$C141,LanguagePage!$D141)</f>
        <v>Денежные потоки от инвестиционной деятельности</v>
      </c>
      <c r="C41" s="325"/>
      <c r="D41" s="325"/>
      <c r="E41" s="325"/>
      <c r="F41" s="325"/>
      <c r="G41" s="325"/>
      <c r="H41" s="325"/>
      <c r="I41" s="325"/>
      <c r="J41" s="326"/>
      <c r="K41" s="325"/>
      <c r="L41" s="325"/>
      <c r="M41" s="379"/>
      <c r="N41" s="325"/>
      <c r="O41" s="325"/>
      <c r="P41" s="325"/>
      <c r="Q41" s="325"/>
      <c r="R41" s="325"/>
      <c r="S41" s="321"/>
      <c r="T41" s="321"/>
      <c r="U41" s="358"/>
      <c r="V41" s="321"/>
      <c r="W41" s="321"/>
    </row>
    <row r="42" spans="1:23" s="3" customFormat="1" x14ac:dyDescent="0.3">
      <c r="A42" s="20"/>
      <c r="B42" s="310"/>
      <c r="C42" s="365"/>
      <c r="D42" s="365"/>
      <c r="E42" s="365"/>
      <c r="F42" s="365"/>
      <c r="G42" s="365"/>
      <c r="H42" s="365"/>
      <c r="I42" s="365"/>
      <c r="J42" s="364"/>
      <c r="K42" s="365"/>
      <c r="L42" s="365"/>
      <c r="M42" s="379"/>
      <c r="N42" s="365"/>
      <c r="O42" s="365"/>
      <c r="P42" s="365"/>
      <c r="Q42" s="365"/>
      <c r="R42" s="365"/>
      <c r="S42" s="321"/>
      <c r="T42" s="321"/>
      <c r="U42" s="358"/>
      <c r="V42" s="321"/>
      <c r="W42" s="321"/>
    </row>
    <row r="43" spans="1:23" s="3" customFormat="1" x14ac:dyDescent="0.3">
      <c r="A43" s="20"/>
      <c r="B43" s="281" t="str">
        <f>CHOOSE(LanguagePage!$C$92,LanguagePage!$C143,LanguagePage!$D143)</f>
        <v>Приобретение дочерних предприятий без приобретения контроля</v>
      </c>
      <c r="C43" s="308">
        <v>0</v>
      </c>
      <c r="D43" s="308">
        <v>0</v>
      </c>
      <c r="E43" s="308">
        <v>0</v>
      </c>
      <c r="F43" s="308">
        <v>-33</v>
      </c>
      <c r="G43" s="308">
        <v>1636</v>
      </c>
      <c r="H43" s="308">
        <v>865</v>
      </c>
      <c r="I43" s="308">
        <v>951</v>
      </c>
      <c r="J43" s="316"/>
      <c r="K43" s="308">
        <v>865</v>
      </c>
      <c r="L43" s="308">
        <v>951</v>
      </c>
      <c r="M43" s="317"/>
      <c r="N43" s="308">
        <f t="shared" si="2"/>
        <v>0</v>
      </c>
      <c r="O43" s="308">
        <f t="shared" si="3"/>
        <v>0</v>
      </c>
      <c r="P43" s="308">
        <f t="shared" ref="P43:T47" si="26">E43/P$5</f>
        <v>0</v>
      </c>
      <c r="Q43" s="308">
        <f t="shared" si="26"/>
        <v>-17.082513717776166</v>
      </c>
      <c r="R43" s="308">
        <f t="shared" si="26"/>
        <v>803.29961700874003</v>
      </c>
      <c r="S43" s="308">
        <f t="shared" si="26"/>
        <v>413.59854642822984</v>
      </c>
      <c r="T43" s="308">
        <f t="shared" si="26"/>
        <v>390.57045463879422</v>
      </c>
      <c r="U43" s="358"/>
      <c r="V43" s="308">
        <f t="shared" ref="V43:W47" si="27">K43/V$5</f>
        <v>413.59854642822984</v>
      </c>
      <c r="W43" s="308">
        <f t="shared" si="27"/>
        <v>390.57045463879422</v>
      </c>
    </row>
    <row r="44" spans="1:23" s="3" customFormat="1" x14ac:dyDescent="0.3">
      <c r="A44" s="20"/>
      <c r="B44" s="282" t="str">
        <f>CHOOSE(LanguagePage!$C$92,LanguagePage!$C144,LanguagePage!$D144)</f>
        <v>Поступления от реализации основных средств</v>
      </c>
      <c r="C44" s="315">
        <v>22078</v>
      </c>
      <c r="D44" s="315">
        <v>67546</v>
      </c>
      <c r="E44" s="315">
        <v>14965</v>
      </c>
      <c r="F44" s="315">
        <v>3978</v>
      </c>
      <c r="G44" s="315">
        <v>18322</v>
      </c>
      <c r="H44" s="315">
        <v>105846</v>
      </c>
      <c r="I44" s="315">
        <v>14531</v>
      </c>
      <c r="J44" s="316"/>
      <c r="K44" s="315">
        <v>105846</v>
      </c>
      <c r="L44" s="315">
        <v>14531</v>
      </c>
      <c r="M44" s="317"/>
      <c r="N44" s="315">
        <f t="shared" si="2"/>
        <v>18631.223628691983</v>
      </c>
      <c r="O44" s="315">
        <f t="shared" si="3"/>
        <v>42576.500414129048</v>
      </c>
      <c r="P44" s="315">
        <f t="shared" si="26"/>
        <v>7525.7731958762888</v>
      </c>
      <c r="Q44" s="315">
        <f t="shared" si="26"/>
        <v>2059.2193808882907</v>
      </c>
      <c r="R44" s="315">
        <f t="shared" si="26"/>
        <v>8996.366493174899</v>
      </c>
      <c r="S44" s="315">
        <f t="shared" si="26"/>
        <v>50610.117624557708</v>
      </c>
      <c r="T44" s="315">
        <f t="shared" si="26"/>
        <v>5967.8015524251514</v>
      </c>
      <c r="U44" s="358"/>
      <c r="V44" s="315">
        <f t="shared" si="27"/>
        <v>50610.117624557708</v>
      </c>
      <c r="W44" s="315">
        <f t="shared" si="27"/>
        <v>5967.8015524251514</v>
      </c>
    </row>
    <row r="45" spans="1:23" s="3" customFormat="1" x14ac:dyDescent="0.3">
      <c r="A45" s="20"/>
      <c r="B45" s="282" t="str">
        <f>CHOOSE(LanguagePage!$C$92,LanguagePage!$C145,LanguagePage!$D145)</f>
        <v>Приобретение основных средств</v>
      </c>
      <c r="C45" s="315">
        <v>-326054</v>
      </c>
      <c r="D45" s="315">
        <v>-185786</v>
      </c>
      <c r="E45" s="315">
        <v>-72902</v>
      </c>
      <c r="F45" s="315">
        <v>-45166</v>
      </c>
      <c r="G45" s="315">
        <v>-84240</v>
      </c>
      <c r="H45" s="315">
        <v>-84796</v>
      </c>
      <c r="I45" s="315">
        <v>-59491</v>
      </c>
      <c r="J45" s="316"/>
      <c r="K45" s="315">
        <v>-84796</v>
      </c>
      <c r="L45" s="315">
        <v>-59491</v>
      </c>
      <c r="M45" s="317"/>
      <c r="N45" s="315">
        <f t="shared" si="2"/>
        <v>-275151.05485232064</v>
      </c>
      <c r="O45" s="315">
        <f t="shared" si="3"/>
        <v>-117107.12264144997</v>
      </c>
      <c r="P45" s="315">
        <f t="shared" si="26"/>
        <v>-36661.805380940408</v>
      </c>
      <c r="Q45" s="315">
        <f t="shared" si="26"/>
        <v>-23380.267108396314</v>
      </c>
      <c r="R45" s="315">
        <f t="shared" si="26"/>
        <v>-41363.056073848573</v>
      </c>
      <c r="S45" s="315">
        <f t="shared" si="26"/>
        <v>-40545.089413789799</v>
      </c>
      <c r="T45" s="315">
        <f t="shared" si="26"/>
        <v>-24432.625569838598</v>
      </c>
      <c r="U45" s="358"/>
      <c r="V45" s="315">
        <f t="shared" si="27"/>
        <v>-40545.089413789799</v>
      </c>
      <c r="W45" s="315">
        <f t="shared" si="27"/>
        <v>-24432.625569838598</v>
      </c>
    </row>
    <row r="46" spans="1:23" s="3" customFormat="1" x14ac:dyDescent="0.3">
      <c r="A46" s="20"/>
      <c r="B46" s="282" t="str">
        <f>CHOOSE(LanguagePage!$C$92,LanguagePage!$C146,LanguagePage!$D146)</f>
        <v>Поступления от реализации облигаций</v>
      </c>
      <c r="C46" s="315">
        <v>0</v>
      </c>
      <c r="D46" s="315">
        <v>301</v>
      </c>
      <c r="E46" s="315">
        <v>0</v>
      </c>
      <c r="F46" s="315">
        <v>0</v>
      </c>
      <c r="G46" s="315">
        <v>0</v>
      </c>
      <c r="H46" s="315">
        <v>0</v>
      </c>
      <c r="I46" s="315">
        <v>0</v>
      </c>
      <c r="J46" s="316"/>
      <c r="K46" s="315">
        <v>0</v>
      </c>
      <c r="L46" s="315">
        <v>0</v>
      </c>
      <c r="M46" s="317"/>
      <c r="N46" s="315">
        <f t="shared" si="2"/>
        <v>0</v>
      </c>
      <c r="O46" s="315">
        <f t="shared" si="3"/>
        <v>189.73035597448913</v>
      </c>
      <c r="P46" s="315">
        <f t="shared" si="26"/>
        <v>0</v>
      </c>
      <c r="Q46" s="315">
        <f t="shared" si="26"/>
        <v>0</v>
      </c>
      <c r="R46" s="315">
        <f t="shared" si="26"/>
        <v>0</v>
      </c>
      <c r="S46" s="315">
        <f t="shared" si="26"/>
        <v>0</v>
      </c>
      <c r="T46" s="315">
        <f t="shared" si="26"/>
        <v>0</v>
      </c>
      <c r="U46" s="358"/>
      <c r="V46" s="315">
        <f t="shared" si="27"/>
        <v>0</v>
      </c>
      <c r="W46" s="315">
        <f t="shared" si="27"/>
        <v>0</v>
      </c>
    </row>
    <row r="47" spans="1:23" s="3" customFormat="1" x14ac:dyDescent="0.3">
      <c r="A47" s="20"/>
      <c r="B47" s="282" t="str">
        <f>CHOOSE(LanguagePage!$C$92,LanguagePage!$C147,LanguagePage!$D147)</f>
        <v>Приобретение нематериальных активов</v>
      </c>
      <c r="C47" s="387">
        <v>-16</v>
      </c>
      <c r="D47" s="387">
        <v>0</v>
      </c>
      <c r="E47" s="387">
        <v>-3320</v>
      </c>
      <c r="F47" s="387">
        <v>-3060</v>
      </c>
      <c r="G47" s="387">
        <v>-8054</v>
      </c>
      <c r="H47" s="387">
        <v>-8925</v>
      </c>
      <c r="I47" s="387">
        <v>-5891</v>
      </c>
      <c r="J47" s="388"/>
      <c r="K47" s="387">
        <v>-8925</v>
      </c>
      <c r="L47" s="387">
        <v>-5891</v>
      </c>
      <c r="M47" s="317"/>
      <c r="N47" s="315">
        <f t="shared" si="2"/>
        <v>-13.502109704641349</v>
      </c>
      <c r="O47" s="315">
        <f t="shared" si="3"/>
        <v>0</v>
      </c>
      <c r="P47" s="315">
        <f t="shared" si="26"/>
        <v>-1669.6002011566509</v>
      </c>
      <c r="Q47" s="315">
        <f t="shared" si="26"/>
        <v>-1584.0149083756082</v>
      </c>
      <c r="R47" s="315">
        <f t="shared" si="26"/>
        <v>-3954.6302661298241</v>
      </c>
      <c r="S47" s="315">
        <f t="shared" si="26"/>
        <v>-4267.4763316438748</v>
      </c>
      <c r="T47" s="315">
        <f t="shared" si="26"/>
        <v>-2419.4012074417842</v>
      </c>
      <c r="U47" s="358"/>
      <c r="V47" s="315">
        <f t="shared" si="27"/>
        <v>-4267.4763316438748</v>
      </c>
      <c r="W47" s="315">
        <f t="shared" si="27"/>
        <v>-2419.4012074417842</v>
      </c>
    </row>
    <row r="48" spans="1:23" s="3" customFormat="1" x14ac:dyDescent="0.3">
      <c r="A48" s="20"/>
      <c r="B48" s="282" t="str">
        <f>CHOOSE(LanguagePage!$C$92,LanguagePage!$C148,LanguagePage!$D148)</f>
        <v>Прочие финансовые вложения</v>
      </c>
      <c r="C48" s="387">
        <v>0</v>
      </c>
      <c r="D48" s="387">
        <v>0</v>
      </c>
      <c r="E48" s="387">
        <v>0</v>
      </c>
      <c r="F48" s="387">
        <v>0</v>
      </c>
      <c r="G48" s="387">
        <v>0</v>
      </c>
      <c r="H48" s="387">
        <v>-2963</v>
      </c>
      <c r="I48" s="387">
        <v>3147</v>
      </c>
      <c r="J48" s="388"/>
      <c r="K48" s="387">
        <v>-2963</v>
      </c>
      <c r="L48" s="387">
        <v>3147</v>
      </c>
      <c r="M48" s="317"/>
      <c r="N48" s="315">
        <f t="shared" si="2"/>
        <v>0</v>
      </c>
      <c r="O48" s="315">
        <f t="shared" si="3"/>
        <v>0</v>
      </c>
      <c r="P48" s="315">
        <f t="shared" ref="P48:P49" si="28">E48/P$5</f>
        <v>0</v>
      </c>
      <c r="Q48" s="315">
        <f t="shared" ref="Q48:Q49" si="29">F48/Q$5</f>
        <v>0</v>
      </c>
      <c r="R48" s="315">
        <f t="shared" ref="R48:T51" si="30">G48/R$5</f>
        <v>0</v>
      </c>
      <c r="S48" s="315">
        <f t="shared" si="30"/>
        <v>-1416.7543272449077</v>
      </c>
      <c r="T48" s="315">
        <f t="shared" si="30"/>
        <v>1292.4555423220668</v>
      </c>
      <c r="U48" s="358"/>
      <c r="V48" s="315">
        <f t="shared" ref="V48:W49" si="31">K48/V$5</f>
        <v>-1416.7543272449077</v>
      </c>
      <c r="W48" s="315">
        <f t="shared" si="31"/>
        <v>1292.4555423220668</v>
      </c>
    </row>
    <row r="49" spans="1:23" s="3" customFormat="1" x14ac:dyDescent="0.3">
      <c r="A49" s="20"/>
      <c r="B49" s="282" t="str">
        <f>CHOOSE(LanguagePage!$C$92,LanguagePage!$C149,LanguagePage!$D149)</f>
        <v>Займы выданные</v>
      </c>
      <c r="C49" s="387">
        <v>0</v>
      </c>
      <c r="D49" s="387">
        <v>0</v>
      </c>
      <c r="E49" s="387">
        <v>0</v>
      </c>
      <c r="F49" s="387">
        <v>0</v>
      </c>
      <c r="G49" s="387">
        <v>0</v>
      </c>
      <c r="H49" s="387">
        <v>-9528</v>
      </c>
      <c r="I49" s="387">
        <v>2301</v>
      </c>
      <c r="J49" s="388"/>
      <c r="K49" s="387">
        <v>-9528</v>
      </c>
      <c r="L49" s="387">
        <v>2301</v>
      </c>
      <c r="M49" s="317"/>
      <c r="N49" s="315">
        <f t="shared" si="2"/>
        <v>0</v>
      </c>
      <c r="O49" s="315">
        <f t="shared" si="3"/>
        <v>0</v>
      </c>
      <c r="P49" s="315">
        <f t="shared" si="28"/>
        <v>0</v>
      </c>
      <c r="Q49" s="315">
        <f t="shared" si="29"/>
        <v>0</v>
      </c>
      <c r="R49" s="315">
        <f t="shared" si="30"/>
        <v>0</v>
      </c>
      <c r="S49" s="315">
        <f t="shared" si="30"/>
        <v>-4555.7999426221668</v>
      </c>
      <c r="T49" s="315">
        <f t="shared" si="30"/>
        <v>945.00800854244528</v>
      </c>
      <c r="U49" s="358"/>
      <c r="V49" s="315">
        <f t="shared" si="31"/>
        <v>-4555.7999426221668</v>
      </c>
      <c r="W49" s="315">
        <f t="shared" si="31"/>
        <v>945.00800854244528</v>
      </c>
    </row>
    <row r="50" spans="1:23" s="3" customFormat="1" x14ac:dyDescent="0.3">
      <c r="A50" s="20"/>
      <c r="B50" s="282" t="str">
        <f>CHOOSE(LanguagePage!$C$92,LanguagePage!$C150,LanguagePage!$D150)</f>
        <v>Выбывшие денежные средства от прекращенной деятельности</v>
      </c>
      <c r="C50" s="387">
        <v>-385</v>
      </c>
      <c r="D50" s="387">
        <v>-428</v>
      </c>
      <c r="E50" s="387">
        <v>0</v>
      </c>
      <c r="F50" s="387">
        <v>0</v>
      </c>
      <c r="G50" s="387">
        <v>0</v>
      </c>
      <c r="H50" s="387">
        <v>0</v>
      </c>
      <c r="I50" s="387">
        <v>0</v>
      </c>
      <c r="J50" s="388"/>
      <c r="K50" s="387">
        <v>0</v>
      </c>
      <c r="L50" s="387">
        <v>0</v>
      </c>
      <c r="M50" s="317"/>
      <c r="N50" s="315">
        <f t="shared" si="2"/>
        <v>-324.89451476793249</v>
      </c>
      <c r="O50" s="315">
        <f t="shared" si="3"/>
        <v>-269.78269886073537</v>
      </c>
      <c r="P50" s="315">
        <f>E50/P$5</f>
        <v>0</v>
      </c>
      <c r="Q50" s="315">
        <f>F50/Q$5</f>
        <v>0</v>
      </c>
      <c r="R50" s="315">
        <f t="shared" si="30"/>
        <v>0</v>
      </c>
      <c r="S50" s="315">
        <f t="shared" si="30"/>
        <v>0</v>
      </c>
      <c r="T50" s="315">
        <f t="shared" si="30"/>
        <v>0</v>
      </c>
      <c r="U50" s="358"/>
      <c r="V50" s="315">
        <f>K50/V$5</f>
        <v>0</v>
      </c>
      <c r="W50" s="315">
        <f>L50/W$5</f>
        <v>0</v>
      </c>
    </row>
    <row r="51" spans="1:23" s="3" customFormat="1" x14ac:dyDescent="0.3">
      <c r="A51" s="20"/>
      <c r="B51" s="282" t="str">
        <f>CHOOSE(LanguagePage!$C$92,LanguagePage!$C151,LanguagePage!$D151)</f>
        <v>Проценты по депозитам полученные</v>
      </c>
      <c r="C51" s="315">
        <v>1144</v>
      </c>
      <c r="D51" s="315">
        <v>321</v>
      </c>
      <c r="E51" s="315">
        <v>50</v>
      </c>
      <c r="F51" s="315">
        <v>149</v>
      </c>
      <c r="G51" s="315">
        <v>878</v>
      </c>
      <c r="H51" s="315">
        <v>1080</v>
      </c>
      <c r="I51" s="315">
        <v>3637</v>
      </c>
      <c r="J51" s="316"/>
      <c r="K51" s="315">
        <v>1080</v>
      </c>
      <c r="L51" s="315">
        <v>3637</v>
      </c>
      <c r="M51" s="317"/>
      <c r="N51" s="315">
        <f t="shared" si="2"/>
        <v>965.40084388185653</v>
      </c>
      <c r="O51" s="315">
        <f t="shared" si="3"/>
        <v>202.33702414555154</v>
      </c>
      <c r="P51" s="315">
        <f>E51/P$5</f>
        <v>25.144581342720645</v>
      </c>
      <c r="Q51" s="315">
        <f>F51/Q$5</f>
        <v>77.130137695413609</v>
      </c>
      <c r="R51" s="315">
        <f t="shared" si="30"/>
        <v>431.11067465383485</v>
      </c>
      <c r="S51" s="315">
        <f t="shared" si="30"/>
        <v>516.40049727455289</v>
      </c>
      <c r="T51" s="315">
        <f t="shared" si="30"/>
        <v>1493.6958396648733</v>
      </c>
      <c r="U51" s="358"/>
      <c r="V51" s="315">
        <f>K51/V$5</f>
        <v>516.40049727455289</v>
      </c>
      <c r="W51" s="315">
        <f>L51/W$5</f>
        <v>1493.6958396648733</v>
      </c>
    </row>
    <row r="52" spans="1:23" s="3" customFormat="1" x14ac:dyDescent="0.3">
      <c r="A52" s="20"/>
      <c r="B52" s="351"/>
      <c r="C52" s="327"/>
      <c r="D52" s="327"/>
      <c r="E52" s="327"/>
      <c r="F52" s="327"/>
      <c r="G52" s="327"/>
      <c r="H52" s="327"/>
      <c r="I52" s="327"/>
      <c r="J52" s="328"/>
      <c r="K52" s="327"/>
      <c r="L52" s="327"/>
      <c r="M52" s="379"/>
      <c r="N52" s="327"/>
      <c r="O52" s="327"/>
      <c r="P52" s="327"/>
      <c r="Q52" s="327"/>
      <c r="R52" s="327"/>
      <c r="S52" s="327"/>
      <c r="T52" s="327"/>
      <c r="U52" s="358"/>
      <c r="V52" s="327"/>
      <c r="W52" s="327"/>
    </row>
    <row r="53" spans="1:23" s="3" customFormat="1" x14ac:dyDescent="0.3">
      <c r="A53" s="20"/>
      <c r="B53" s="299" t="str">
        <f>CHOOSE(LanguagePage!$C$92,LanguagePage!$C155,LanguagePage!$D155)</f>
        <v xml:space="preserve">Чистые ден.средства, использованные в инвестиционной деятельности </v>
      </c>
      <c r="C53" s="323">
        <f t="shared" ref="C53:I53" si="32">SUM(C43:C51)</f>
        <v>-303233</v>
      </c>
      <c r="D53" s="323">
        <f t="shared" si="32"/>
        <v>-118046</v>
      </c>
      <c r="E53" s="323">
        <f t="shared" si="32"/>
        <v>-61207</v>
      </c>
      <c r="F53" s="323">
        <f t="shared" si="32"/>
        <v>-44132</v>
      </c>
      <c r="G53" s="323">
        <f t="shared" si="32"/>
        <v>-71458</v>
      </c>
      <c r="H53" s="323">
        <f t="shared" si="32"/>
        <v>1579</v>
      </c>
      <c r="I53" s="323">
        <f t="shared" si="32"/>
        <v>-40815</v>
      </c>
      <c r="J53" s="326"/>
      <c r="K53" s="323">
        <f>SUM(K43:K51)</f>
        <v>1579</v>
      </c>
      <c r="L53" s="323">
        <f>SUM(L43:L51)</f>
        <v>-40815</v>
      </c>
      <c r="M53" s="379"/>
      <c r="N53" s="323">
        <f t="shared" ref="N53:S53" si="33">SUM(N43:N51)</f>
        <v>-255892.82700421938</v>
      </c>
      <c r="O53" s="323">
        <f t="shared" si="33"/>
        <v>-74408.337546061608</v>
      </c>
      <c r="P53" s="323">
        <f t="shared" si="33"/>
        <v>-30780.487804878052</v>
      </c>
      <c r="Q53" s="323">
        <f t="shared" si="33"/>
        <v>-22845.015011905994</v>
      </c>
      <c r="R53" s="323">
        <f t="shared" si="33"/>
        <v>-35086.909555140919</v>
      </c>
      <c r="S53" s="323">
        <f t="shared" si="33"/>
        <v>754.99665295974</v>
      </c>
      <c r="T53" s="323">
        <f>SUM(T43:T51)</f>
        <v>-16762.49537968705</v>
      </c>
      <c r="U53" s="358"/>
      <c r="V53" s="323">
        <f>SUM(V43:V51)</f>
        <v>754.99665295974</v>
      </c>
      <c r="W53" s="323">
        <f>SUM(W43:W51)</f>
        <v>-16762.49537968705</v>
      </c>
    </row>
    <row r="54" spans="1:23" s="3" customFormat="1" x14ac:dyDescent="0.3">
      <c r="A54" s="20"/>
      <c r="B54" s="402"/>
      <c r="C54" s="325"/>
      <c r="D54" s="325"/>
      <c r="E54" s="325"/>
      <c r="F54" s="325"/>
      <c r="G54" s="325"/>
      <c r="H54" s="325"/>
      <c r="I54" s="325"/>
      <c r="J54" s="326"/>
      <c r="K54" s="325"/>
      <c r="L54" s="325"/>
      <c r="M54" s="379"/>
      <c r="N54" s="325"/>
      <c r="O54" s="325"/>
      <c r="P54" s="325"/>
      <c r="Q54" s="325"/>
      <c r="R54" s="325"/>
      <c r="S54" s="321"/>
      <c r="T54" s="321"/>
      <c r="U54" s="358"/>
      <c r="V54" s="321"/>
      <c r="W54" s="321"/>
    </row>
    <row r="55" spans="1:23" s="3" customFormat="1" x14ac:dyDescent="0.3">
      <c r="A55" s="20"/>
      <c r="B55" s="10" t="str">
        <f>CHOOSE(LanguagePage!$C$92,LanguagePage!$C160,LanguagePage!$D160)</f>
        <v>Денежный поток от финансовой деятельности</v>
      </c>
      <c r="C55" s="325"/>
      <c r="D55" s="325"/>
      <c r="E55" s="325"/>
      <c r="F55" s="325"/>
      <c r="G55" s="325"/>
      <c r="H55" s="325"/>
      <c r="I55" s="325"/>
      <c r="J55" s="326"/>
      <c r="K55" s="325"/>
      <c r="L55" s="325"/>
      <c r="M55" s="379"/>
      <c r="N55" s="325"/>
      <c r="O55" s="325"/>
      <c r="P55" s="325"/>
      <c r="Q55" s="325"/>
      <c r="R55" s="325"/>
      <c r="S55" s="321"/>
      <c r="T55" s="321"/>
      <c r="U55" s="358"/>
      <c r="V55" s="321"/>
      <c r="W55" s="321"/>
    </row>
    <row r="56" spans="1:23" s="3" customFormat="1" x14ac:dyDescent="0.3">
      <c r="A56" s="20"/>
      <c r="B56" s="281" t="str">
        <f>CHOOSE(LanguagePage!$C$92,LanguagePage!$C161,LanguagePage!$D161)</f>
        <v>Выплата дивидендов</v>
      </c>
      <c r="C56" s="389">
        <v>-24889</v>
      </c>
      <c r="D56" s="308">
        <v>0</v>
      </c>
      <c r="E56" s="308">
        <v>0</v>
      </c>
      <c r="F56" s="308">
        <v>-19256</v>
      </c>
      <c r="G56" s="308">
        <v>-13851</v>
      </c>
      <c r="H56" s="308">
        <v>-32057</v>
      </c>
      <c r="I56" s="308">
        <v>-56221</v>
      </c>
      <c r="J56" s="316"/>
      <c r="K56" s="308">
        <v>-32057</v>
      </c>
      <c r="L56" s="308">
        <v>-56221</v>
      </c>
      <c r="M56" s="317"/>
      <c r="N56" s="389">
        <f t="shared" si="2"/>
        <v>-21003.37552742616</v>
      </c>
      <c r="O56" s="308">
        <f t="shared" si="3"/>
        <v>0</v>
      </c>
      <c r="P56" s="308">
        <f t="shared" ref="P56:T63" si="34">E56/P$5</f>
        <v>0</v>
      </c>
      <c r="Q56" s="308">
        <f t="shared" si="34"/>
        <v>-9967.9055802878138</v>
      </c>
      <c r="R56" s="308">
        <f t="shared" si="34"/>
        <v>-6801.0409506039477</v>
      </c>
      <c r="S56" s="308">
        <f t="shared" si="34"/>
        <v>-15328.009945491058</v>
      </c>
      <c r="T56" s="308">
        <f t="shared" si="34"/>
        <v>-23089.654605938646</v>
      </c>
      <c r="U56" s="358"/>
      <c r="V56" s="308">
        <f t="shared" ref="V56:W63" si="35">K56/V$5</f>
        <v>-15328.009945491058</v>
      </c>
      <c r="W56" s="308">
        <f>L56/W$5</f>
        <v>-23089.654605938646</v>
      </c>
    </row>
    <row r="57" spans="1:23" s="3" customFormat="1" x14ac:dyDescent="0.3">
      <c r="A57" s="20"/>
      <c r="B57" s="282" t="str">
        <f>CHOOSE(LanguagePage!$C$92,LanguagePage!$C162,LanguagePage!$D162)</f>
        <v>Увеличение уставного фонда</v>
      </c>
      <c r="C57" s="387">
        <v>0</v>
      </c>
      <c r="D57" s="387">
        <v>0</v>
      </c>
      <c r="E57" s="387">
        <v>0</v>
      </c>
      <c r="F57" s="387">
        <v>0</v>
      </c>
      <c r="G57" s="387">
        <v>51</v>
      </c>
      <c r="H57" s="387">
        <v>0</v>
      </c>
      <c r="I57" s="387"/>
      <c r="J57" s="388"/>
      <c r="K57" s="387">
        <v>0</v>
      </c>
      <c r="L57" s="387"/>
      <c r="M57" s="317"/>
      <c r="N57" s="387">
        <f>C57/N$5</f>
        <v>0</v>
      </c>
      <c r="O57" s="315">
        <f>D57/O$5</f>
        <v>0</v>
      </c>
      <c r="P57" s="315">
        <f t="shared" si="34"/>
        <v>0</v>
      </c>
      <c r="Q57" s="315">
        <f t="shared" si="34"/>
        <v>0</v>
      </c>
      <c r="R57" s="315">
        <f t="shared" si="34"/>
        <v>25.041736227045075</v>
      </c>
      <c r="S57" s="315">
        <f t="shared" si="34"/>
        <v>0</v>
      </c>
      <c r="T57" s="315">
        <f t="shared" si="34"/>
        <v>0</v>
      </c>
      <c r="U57" s="358"/>
      <c r="V57" s="315">
        <f t="shared" si="35"/>
        <v>0</v>
      </c>
      <c r="W57" s="315">
        <f t="shared" si="35"/>
        <v>0</v>
      </c>
    </row>
    <row r="58" spans="1:23" s="3" customFormat="1" x14ac:dyDescent="0.3">
      <c r="A58" s="20"/>
      <c r="B58" s="282" t="str">
        <f>CHOOSE(LanguagePage!$C$92,LanguagePage!$C163,LanguagePage!$D163)</f>
        <v>Займы и кредиты полученные</v>
      </c>
      <c r="C58" s="387">
        <v>460579</v>
      </c>
      <c r="D58" s="387">
        <v>338703</v>
      </c>
      <c r="E58" s="387">
        <v>399733</v>
      </c>
      <c r="F58" s="387">
        <v>1494385</v>
      </c>
      <c r="G58" s="387">
        <v>1266639</v>
      </c>
      <c r="H58" s="387">
        <v>883718</v>
      </c>
      <c r="I58" s="387">
        <v>1460302</v>
      </c>
      <c r="J58" s="388"/>
      <c r="K58" s="387">
        <v>883718</v>
      </c>
      <c r="L58" s="387">
        <v>1460302</v>
      </c>
      <c r="M58" s="317"/>
      <c r="N58" s="387">
        <f>C58/N$5</f>
        <v>388674.26160337549</v>
      </c>
      <c r="O58" s="315">
        <f>D58/O$5</f>
        <v>213495.81647716742</v>
      </c>
      <c r="P58" s="315">
        <f t="shared" si="34"/>
        <v>201022.37867739503</v>
      </c>
      <c r="Q58" s="315">
        <f t="shared" si="34"/>
        <v>773571.28067087696</v>
      </c>
      <c r="R58" s="315">
        <f t="shared" si="34"/>
        <v>621938.033978199</v>
      </c>
      <c r="S58" s="315">
        <f t="shared" si="34"/>
        <v>422548.5320837716</v>
      </c>
      <c r="T58" s="315">
        <f t="shared" si="34"/>
        <v>599737.97691897</v>
      </c>
      <c r="U58" s="358"/>
      <c r="V58" s="315">
        <f t="shared" si="35"/>
        <v>422548.5320837716</v>
      </c>
      <c r="W58" s="315">
        <f t="shared" si="35"/>
        <v>599737.97691897</v>
      </c>
    </row>
    <row r="59" spans="1:23" s="3" customFormat="1" x14ac:dyDescent="0.3">
      <c r="A59" s="20"/>
      <c r="B59" s="282" t="str">
        <f>CHOOSE(LanguagePage!$C$92,LanguagePage!$C164,LanguagePage!$D164)</f>
        <v>Займы и кредиты погашенные</v>
      </c>
      <c r="C59" s="387">
        <v>-185453</v>
      </c>
      <c r="D59" s="387">
        <v>-419935</v>
      </c>
      <c r="E59" s="387">
        <v>-520164</v>
      </c>
      <c r="F59" s="387">
        <v>-1420186</v>
      </c>
      <c r="G59" s="387">
        <v>-1462799</v>
      </c>
      <c r="H59" s="387">
        <v>-868626</v>
      </c>
      <c r="I59" s="387">
        <v>-1461883</v>
      </c>
      <c r="J59" s="388"/>
      <c r="K59" s="387">
        <v>-868626</v>
      </c>
      <c r="L59" s="387">
        <v>-1461883</v>
      </c>
      <c r="M59" s="317"/>
      <c r="N59" s="387">
        <f t="shared" si="2"/>
        <v>-156500.42194092827</v>
      </c>
      <c r="O59" s="315">
        <f t="shared" si="3"/>
        <v>-264699.05992075446</v>
      </c>
      <c r="P59" s="315">
        <f t="shared" si="34"/>
        <v>-261586.12019109883</v>
      </c>
      <c r="Q59" s="315">
        <f t="shared" si="34"/>
        <v>-735162.02505435352</v>
      </c>
      <c r="R59" s="315">
        <f t="shared" si="34"/>
        <v>-718255.42570951593</v>
      </c>
      <c r="S59" s="315">
        <f t="shared" si="34"/>
        <v>-415332.3132829683</v>
      </c>
      <c r="T59" s="315">
        <f t="shared" si="34"/>
        <v>-600387.28489876387</v>
      </c>
      <c r="U59" s="358"/>
      <c r="V59" s="315">
        <f t="shared" si="35"/>
        <v>-415332.3132829683</v>
      </c>
      <c r="W59" s="315">
        <f t="shared" si="35"/>
        <v>-600387.28489876387</v>
      </c>
    </row>
    <row r="60" spans="1:23" s="3" customFormat="1" x14ac:dyDescent="0.3">
      <c r="A60" s="20"/>
      <c r="B60" s="282" t="str">
        <f>CHOOSE(LanguagePage!$C$92,LanguagePage!$C165,LanguagePage!D165)</f>
        <v>Проценты по кредитам и займам уплаченным</v>
      </c>
      <c r="C60" s="315">
        <v>-56348</v>
      </c>
      <c r="D60" s="315">
        <v>-103942</v>
      </c>
      <c r="E60" s="315">
        <v>-127647</v>
      </c>
      <c r="F60" s="315">
        <v>-119514</v>
      </c>
      <c r="G60" s="315">
        <v>-121273</v>
      </c>
      <c r="H60" s="315">
        <v>-112366</v>
      </c>
      <c r="I60" s="315">
        <v>-113767</v>
      </c>
      <c r="J60" s="316"/>
      <c r="K60" s="315">
        <v>-112366</v>
      </c>
      <c r="L60" s="315">
        <v>-113767</v>
      </c>
      <c r="M60" s="317"/>
      <c r="N60" s="315">
        <f t="shared" si="2"/>
        <v>-47551.054852320674</v>
      </c>
      <c r="O60" s="315">
        <f t="shared" si="3"/>
        <v>-65518.11515182841</v>
      </c>
      <c r="P60" s="315">
        <f t="shared" si="34"/>
        <v>-64192.607493085241</v>
      </c>
      <c r="Q60" s="315">
        <f t="shared" si="34"/>
        <v>-61866.652862615178</v>
      </c>
      <c r="R60" s="315">
        <f t="shared" si="34"/>
        <v>-59546.793675734065</v>
      </c>
      <c r="S60" s="315">
        <f t="shared" si="34"/>
        <v>-53727.646552548526</v>
      </c>
      <c r="T60" s="315">
        <f t="shared" si="34"/>
        <v>-46723.479403671612</v>
      </c>
      <c r="U60" s="358"/>
      <c r="V60" s="315">
        <f t="shared" si="35"/>
        <v>-53727.646552548526</v>
      </c>
      <c r="W60" s="315">
        <f t="shared" si="35"/>
        <v>-46723.479403671612</v>
      </c>
    </row>
    <row r="61" spans="1:23" s="3" customFormat="1" x14ac:dyDescent="0.3">
      <c r="A61" s="20"/>
      <c r="B61" s="282" t="str">
        <f>CHOOSE(LanguagePage!$C$92,LanguagePage!$C153,LanguagePage!D153)</f>
        <v>Финансирование за счет обратной аренды</v>
      </c>
      <c r="C61" s="315">
        <v>0</v>
      </c>
      <c r="D61" s="315">
        <v>0</v>
      </c>
      <c r="E61" s="315">
        <v>0</v>
      </c>
      <c r="F61" s="315">
        <v>0</v>
      </c>
      <c r="G61" s="315">
        <v>35707</v>
      </c>
      <c r="H61" s="315">
        <v>0</v>
      </c>
      <c r="I61" s="315">
        <v>0</v>
      </c>
      <c r="J61" s="316"/>
      <c r="K61" s="315">
        <v>0</v>
      </c>
      <c r="L61" s="315">
        <v>0</v>
      </c>
      <c r="M61" s="317"/>
      <c r="N61" s="315">
        <f>C61/N$5</f>
        <v>0</v>
      </c>
      <c r="O61" s="315">
        <f>D61/O$5</f>
        <v>0</v>
      </c>
      <c r="P61" s="315">
        <f t="shared" si="34"/>
        <v>0</v>
      </c>
      <c r="Q61" s="315">
        <f t="shared" si="34"/>
        <v>0</v>
      </c>
      <c r="R61" s="315">
        <f t="shared" si="34"/>
        <v>17532.652459982324</v>
      </c>
      <c r="S61" s="315">
        <f t="shared" si="34"/>
        <v>0</v>
      </c>
      <c r="T61" s="315">
        <f t="shared" si="34"/>
        <v>0</v>
      </c>
      <c r="U61" s="358"/>
      <c r="V61" s="315">
        <f t="shared" si="35"/>
        <v>0</v>
      </c>
      <c r="W61" s="315">
        <f t="shared" si="35"/>
        <v>0</v>
      </c>
    </row>
    <row r="62" spans="1:23" s="3" customFormat="1" x14ac:dyDescent="0.3">
      <c r="A62" s="20"/>
      <c r="B62" s="282" t="str">
        <f>CHOOSE(LanguagePage!$C$92,LanguagePage!$C168,LanguagePage!$D168)</f>
        <v>Погашение задолженности по финансовой аренде</v>
      </c>
      <c r="C62" s="315">
        <v>-7588</v>
      </c>
      <c r="D62" s="315">
        <v>-31784</v>
      </c>
      <c r="E62" s="315">
        <v>-34595</v>
      </c>
      <c r="F62" s="315">
        <v>-17195</v>
      </c>
      <c r="G62" s="315">
        <v>-58425</v>
      </c>
      <c r="H62" s="315">
        <v>-85443</v>
      </c>
      <c r="I62" s="315">
        <f>-10587-I63</f>
        <v>-9073</v>
      </c>
      <c r="J62" s="316"/>
      <c r="K62" s="315">
        <v>-85443</v>
      </c>
      <c r="L62" s="315">
        <f>-10587-L63</f>
        <v>-9073</v>
      </c>
      <c r="M62" s="393"/>
      <c r="N62" s="315">
        <f t="shared" si="2"/>
        <v>-6403.3755274261603</v>
      </c>
      <c r="O62" s="315">
        <f t="shared" si="3"/>
        <v>-20034.517057452369</v>
      </c>
      <c r="P62" s="315">
        <f t="shared" si="34"/>
        <v>-17397.535831028414</v>
      </c>
      <c r="Q62" s="315">
        <f t="shared" si="34"/>
        <v>-8901.0249508230663</v>
      </c>
      <c r="R62" s="315">
        <f t="shared" si="34"/>
        <v>-28687.518413041344</v>
      </c>
      <c r="S62" s="315">
        <f t="shared" si="34"/>
        <v>-40854.451563545947</v>
      </c>
      <c r="T62" s="315">
        <f t="shared" si="34"/>
        <v>-3726.2310567169084</v>
      </c>
      <c r="U62" s="358"/>
      <c r="V62" s="315">
        <f t="shared" si="35"/>
        <v>-40854.451563545947</v>
      </c>
      <c r="W62" s="315">
        <f t="shared" si="35"/>
        <v>-3726.2310567169084</v>
      </c>
    </row>
    <row r="63" spans="1:23" s="3" customFormat="1" x14ac:dyDescent="0.3">
      <c r="A63" s="20"/>
      <c r="B63" s="282" t="str">
        <f>CHOOSE(LanguagePage!$C$92,LanguagePage!$C169,LanguagePage!$D169)</f>
        <v>Погашение процентов по финансовой аренде</v>
      </c>
      <c r="C63" s="315">
        <v>-2628</v>
      </c>
      <c r="D63" s="315">
        <v>-6183</v>
      </c>
      <c r="E63" s="315">
        <v>-9639</v>
      </c>
      <c r="F63" s="315">
        <v>-8151</v>
      </c>
      <c r="G63" s="315">
        <v>-13619</v>
      </c>
      <c r="H63" s="315">
        <v>-7553</v>
      </c>
      <c r="I63" s="315">
        <v>-1514</v>
      </c>
      <c r="J63" s="316"/>
      <c r="K63" s="315">
        <v>-7553</v>
      </c>
      <c r="L63" s="315">
        <v>-1514</v>
      </c>
      <c r="M63" s="393"/>
      <c r="N63" s="315">
        <f t="shared" si="2"/>
        <v>-2217.7215189873418</v>
      </c>
      <c r="O63" s="315">
        <f t="shared" si="3"/>
        <v>-3897.3514650839415</v>
      </c>
      <c r="P63" s="315">
        <f t="shared" si="34"/>
        <v>-4847.3723912496862</v>
      </c>
      <c r="Q63" s="315">
        <f t="shared" si="34"/>
        <v>-4219.3808882907133</v>
      </c>
      <c r="R63" s="315">
        <f t="shared" si="34"/>
        <v>-6687.1256014926839</v>
      </c>
      <c r="S63" s="315">
        <f t="shared" si="34"/>
        <v>-3611.4564406617574</v>
      </c>
      <c r="T63" s="315">
        <f t="shared" si="34"/>
        <v>-621.79144934083536</v>
      </c>
      <c r="U63" s="358"/>
      <c r="V63" s="315">
        <f t="shared" si="35"/>
        <v>-3611.4564406617574</v>
      </c>
      <c r="W63" s="315">
        <f t="shared" si="35"/>
        <v>-621.79144934083536</v>
      </c>
    </row>
    <row r="64" spans="1:23" s="3" customFormat="1" x14ac:dyDescent="0.3">
      <c r="A64" s="20"/>
      <c r="B64" s="282" t="str">
        <f>CHOOSE(LanguagePage!$C$92,LanguagePage!$C166,LanguagePage!$D166)</f>
        <v>Погашение обязательств по договорам аренды</v>
      </c>
      <c r="C64" s="315">
        <v>0</v>
      </c>
      <c r="D64" s="315">
        <v>0</v>
      </c>
      <c r="E64" s="315">
        <v>0</v>
      </c>
      <c r="F64" s="315">
        <v>0</v>
      </c>
      <c r="G64" s="315">
        <v>0</v>
      </c>
      <c r="H64" s="315">
        <v>0</v>
      </c>
      <c r="I64" s="315">
        <v>0</v>
      </c>
      <c r="J64" s="316"/>
      <c r="K64" s="315">
        <v>-136080</v>
      </c>
      <c r="L64" s="315">
        <v>-131377</v>
      </c>
      <c r="M64" s="393"/>
      <c r="N64" s="315">
        <f t="shared" si="2"/>
        <v>0</v>
      </c>
      <c r="O64" s="315">
        <f t="shared" si="3"/>
        <v>0</v>
      </c>
      <c r="P64" s="315">
        <f t="shared" ref="P64:P65" si="36">E64/P$5</f>
        <v>0</v>
      </c>
      <c r="Q64" s="315">
        <f t="shared" ref="Q64:Q65" si="37">F64/Q$5</f>
        <v>0</v>
      </c>
      <c r="R64" s="315">
        <f t="shared" ref="R64:T65" si="38">G64/R$5</f>
        <v>0</v>
      </c>
      <c r="S64" s="315">
        <f t="shared" si="38"/>
        <v>0</v>
      </c>
      <c r="T64" s="315">
        <f t="shared" si="38"/>
        <v>0</v>
      </c>
      <c r="U64" s="358"/>
      <c r="V64" s="315">
        <f t="shared" ref="V64:W65" si="39">K64/V$5</f>
        <v>-65066.462656593663</v>
      </c>
      <c r="W64" s="315">
        <f t="shared" si="39"/>
        <v>-53955.809273481464</v>
      </c>
    </row>
    <row r="65" spans="1:26" s="3" customFormat="1" x14ac:dyDescent="0.3">
      <c r="A65" s="20"/>
      <c r="B65" s="282" t="str">
        <f>CHOOSE(LanguagePage!$C$92,LanguagePage!$C152,LanguagePage!D152)</f>
        <v>НДС в платежах по финансовой аренде</v>
      </c>
      <c r="C65" s="315">
        <v>0</v>
      </c>
      <c r="D65" s="315">
        <v>0</v>
      </c>
      <c r="E65" s="315">
        <v>0</v>
      </c>
      <c r="F65" s="315">
        <v>-5069</v>
      </c>
      <c r="G65" s="315">
        <v>-11826</v>
      </c>
      <c r="H65" s="315">
        <v>-18595</v>
      </c>
      <c r="I65" s="315">
        <v>-2573</v>
      </c>
      <c r="J65" s="316"/>
      <c r="K65" s="315">
        <v>-18595</v>
      </c>
      <c r="L65" s="315">
        <v>-2573</v>
      </c>
      <c r="M65" s="393"/>
      <c r="N65" s="315">
        <f t="shared" si="2"/>
        <v>0</v>
      </c>
      <c r="O65" s="315">
        <f t="shared" si="3"/>
        <v>0</v>
      </c>
      <c r="P65" s="315">
        <f t="shared" si="36"/>
        <v>0</v>
      </c>
      <c r="Q65" s="315">
        <f t="shared" si="37"/>
        <v>-2623.9776374365879</v>
      </c>
      <c r="R65" s="315">
        <f t="shared" si="38"/>
        <v>-5806.7367180595111</v>
      </c>
      <c r="S65" s="315">
        <f t="shared" si="38"/>
        <v>-8891.1733766854741</v>
      </c>
      <c r="T65" s="315">
        <f t="shared" si="38"/>
        <v>-1056.7169082919218</v>
      </c>
      <c r="U65" s="358"/>
      <c r="V65" s="315">
        <f t="shared" si="39"/>
        <v>-8891.1733766854741</v>
      </c>
      <c r="W65" s="315">
        <f t="shared" si="39"/>
        <v>-1056.7169082919218</v>
      </c>
    </row>
    <row r="66" spans="1:26" s="3" customFormat="1" x14ac:dyDescent="0.3">
      <c r="A66" s="20"/>
      <c r="B66" s="351"/>
      <c r="C66" s="394"/>
      <c r="D66" s="395"/>
      <c r="E66" s="395"/>
      <c r="F66" s="395"/>
      <c r="G66" s="395"/>
      <c r="H66" s="395"/>
      <c r="I66" s="395"/>
      <c r="J66" s="396"/>
      <c r="K66" s="395"/>
      <c r="L66" s="395"/>
      <c r="M66" s="321"/>
      <c r="N66" s="394"/>
      <c r="O66" s="395"/>
      <c r="P66" s="395"/>
      <c r="Q66" s="395"/>
      <c r="R66" s="395"/>
      <c r="S66" s="395"/>
      <c r="T66" s="395"/>
      <c r="U66" s="358"/>
      <c r="V66" s="395"/>
      <c r="W66" s="395"/>
    </row>
    <row r="67" spans="1:26" s="3" customFormat="1" x14ac:dyDescent="0.3">
      <c r="A67" s="20"/>
      <c r="B67" s="299" t="str">
        <f>CHOOSE(LanguagePage!$C$92,LanguagePage!$C172,LanguagePage!$D172)</f>
        <v>Чистые денежные средства, использованные в финансовой деятельности</v>
      </c>
      <c r="C67" s="323">
        <f t="shared" ref="C67:H67" si="40">SUM(C56:C65)</f>
        <v>183673</v>
      </c>
      <c r="D67" s="323">
        <f t="shared" si="40"/>
        <v>-223141</v>
      </c>
      <c r="E67" s="323">
        <f t="shared" si="40"/>
        <v>-292312</v>
      </c>
      <c r="F67" s="323">
        <f t="shared" si="40"/>
        <v>-94986</v>
      </c>
      <c r="G67" s="323">
        <f t="shared" si="40"/>
        <v>-379396</v>
      </c>
      <c r="H67" s="323">
        <f t="shared" si="40"/>
        <v>-240922</v>
      </c>
      <c r="I67" s="323">
        <f>SUM(I56:I65)</f>
        <v>-184729</v>
      </c>
      <c r="J67" s="326"/>
      <c r="K67" s="323">
        <f>SUM(K56:K65)</f>
        <v>-377002</v>
      </c>
      <c r="L67" s="323">
        <f>SUM(L56:L65)</f>
        <v>-316106</v>
      </c>
      <c r="M67" s="321"/>
      <c r="N67" s="323">
        <f t="shared" ref="N67:Q67" si="41">SUM(N56:N65)</f>
        <v>154998.3122362869</v>
      </c>
      <c r="O67" s="323">
        <f t="shared" si="41"/>
        <v>-140653.22711795178</v>
      </c>
      <c r="P67" s="323">
        <f t="shared" si="41"/>
        <v>-147001.25722906715</v>
      </c>
      <c r="Q67" s="323">
        <f t="shared" si="41"/>
        <v>-49169.686302929906</v>
      </c>
      <c r="R67" s="323">
        <f>SUM(R56:R65)</f>
        <v>-186288.91289403912</v>
      </c>
      <c r="S67" s="323">
        <f>SUM(S56:S65)</f>
        <v>-115196.51907812945</v>
      </c>
      <c r="T67" s="323">
        <f>SUM(T56:T65)</f>
        <v>-75867.181403753726</v>
      </c>
      <c r="U67" s="358"/>
      <c r="V67" s="323">
        <f>SUM(V56:V65)</f>
        <v>-180262.98173472311</v>
      </c>
      <c r="W67" s="323">
        <f>SUM(W56:W65)</f>
        <v>-129822.9906772352</v>
      </c>
    </row>
    <row r="68" spans="1:26" s="3" customFormat="1" ht="14.4" thickBot="1" x14ac:dyDescent="0.35">
      <c r="A68" s="38"/>
      <c r="B68" s="403"/>
      <c r="C68" s="397"/>
      <c r="D68" s="398"/>
      <c r="E68" s="398"/>
      <c r="F68" s="398"/>
      <c r="G68" s="398"/>
      <c r="H68" s="398"/>
      <c r="I68" s="398"/>
      <c r="J68" s="396"/>
      <c r="K68" s="398"/>
      <c r="L68" s="398"/>
      <c r="M68" s="321"/>
      <c r="N68" s="397"/>
      <c r="O68" s="398"/>
      <c r="P68" s="398"/>
      <c r="Q68" s="398"/>
      <c r="R68" s="398"/>
      <c r="S68" s="398"/>
      <c r="T68" s="398"/>
      <c r="U68" s="358"/>
      <c r="V68" s="398"/>
      <c r="W68" s="398"/>
    </row>
    <row r="69" spans="1:26" s="3" customFormat="1" ht="14.4" thickTop="1" x14ac:dyDescent="0.3">
      <c r="A69" s="38"/>
      <c r="B69" s="401" t="str">
        <f>CHOOSE(LanguagePage!$C$92,LanguagePage!$C174,LanguagePage!$D174)</f>
        <v>Чистый приток денежных средств и их эквивалентов</v>
      </c>
      <c r="C69" s="399">
        <f t="shared" ref="C69:G69" si="42">C39+C53+C67</f>
        <v>79694</v>
      </c>
      <c r="D69" s="399">
        <f t="shared" si="42"/>
        <v>6129</v>
      </c>
      <c r="E69" s="399">
        <f t="shared" si="42"/>
        <v>17599</v>
      </c>
      <c r="F69" s="399">
        <f t="shared" si="42"/>
        <v>100445</v>
      </c>
      <c r="G69" s="399">
        <f t="shared" si="42"/>
        <v>-678</v>
      </c>
      <c r="H69" s="399">
        <f>H39+H53+H67</f>
        <v>118675</v>
      </c>
      <c r="I69" s="399">
        <f>I39+I53+I67</f>
        <v>-119404</v>
      </c>
      <c r="J69" s="326"/>
      <c r="K69" s="399">
        <f>K39+K53+K67</f>
        <v>118675</v>
      </c>
      <c r="L69" s="399">
        <f>L39+L53+L67</f>
        <v>-119404</v>
      </c>
      <c r="M69" s="321"/>
      <c r="N69" s="399">
        <f t="shared" ref="N69:R69" si="43">N67+N53+N39</f>
        <v>67252.320675105526</v>
      </c>
      <c r="O69" s="399">
        <f t="shared" si="43"/>
        <v>3863.3134610221605</v>
      </c>
      <c r="P69" s="399">
        <f t="shared" si="43"/>
        <v>8850.3897410108184</v>
      </c>
      <c r="Q69" s="399">
        <f t="shared" si="43"/>
        <v>51995.548193394774</v>
      </c>
      <c r="R69" s="399">
        <f t="shared" si="43"/>
        <v>-332.9077874890063</v>
      </c>
      <c r="S69" s="399">
        <f>S67+S53+S39</f>
        <v>56744.286124127422</v>
      </c>
      <c r="T69" s="399">
        <f t="shared" ref="T69" si="44">T67+T53+T39</f>
        <v>-49038.564212082609</v>
      </c>
      <c r="U69" s="358"/>
      <c r="V69" s="399">
        <f>V67+V53+V39</f>
        <v>56744.286124127393</v>
      </c>
      <c r="W69" s="399">
        <f>W67+W53+W39</f>
        <v>-49038.564212082623</v>
      </c>
    </row>
    <row r="70" spans="1:26" x14ac:dyDescent="0.3">
      <c r="B70" s="404" t="str">
        <f>CHOOSE(LanguagePage!$C$92,LanguagePage!$C175,LanguagePage!$D175)</f>
        <v>Денежные средства и их эквиваленты на 1 января</v>
      </c>
      <c r="C70" s="380">
        <v>29826</v>
      </c>
      <c r="D70" s="380">
        <v>53622</v>
      </c>
      <c r="E70" s="380">
        <v>59063</v>
      </c>
      <c r="F70" s="380">
        <v>74624</v>
      </c>
      <c r="G70" s="380">
        <v>174019</v>
      </c>
      <c r="H70" s="380">
        <v>176348</v>
      </c>
      <c r="I70" s="380">
        <v>294522</v>
      </c>
      <c r="J70" s="361"/>
      <c r="K70" s="380">
        <v>176348</v>
      </c>
      <c r="L70" s="380">
        <v>294522</v>
      </c>
      <c r="M70" s="304"/>
      <c r="N70" s="380">
        <f>C70/0.951</f>
        <v>31362.776025236595</v>
      </c>
      <c r="O70" s="380">
        <f t="shared" ref="O70:T70" si="45">N73</f>
        <v>45250.6329113924</v>
      </c>
      <c r="P70" s="380">
        <f t="shared" si="45"/>
        <v>31807.313264042223</v>
      </c>
      <c r="Q70" s="380">
        <f t="shared" si="45"/>
        <v>38044.932346183305</v>
      </c>
      <c r="R70" s="380">
        <f t="shared" si="45"/>
        <v>88213.615856440418</v>
      </c>
      <c r="S70" s="380">
        <f t="shared" si="45"/>
        <v>81650.152791925168</v>
      </c>
      <c r="T70" s="380">
        <f t="shared" si="45"/>
        <v>140008.55675984026</v>
      </c>
      <c r="U70" s="386"/>
      <c r="V70" s="380">
        <f>R73</f>
        <v>81650.152791925168</v>
      </c>
      <c r="W70" s="380">
        <f>S73</f>
        <v>140008.55675984026</v>
      </c>
    </row>
    <row r="71" spans="1:26" x14ac:dyDescent="0.3">
      <c r="B71" s="405" t="str">
        <f>CHOOSE(LanguagePage!$C$92,LanguagePage!$C176,LanguagePage!$D176)</f>
        <v>Эффект пересчета в валюту представления</v>
      </c>
      <c r="C71" s="315">
        <v>632</v>
      </c>
      <c r="D71" s="315">
        <v>-688</v>
      </c>
      <c r="E71" s="315">
        <v>-2151</v>
      </c>
      <c r="F71" s="315">
        <v>-1050</v>
      </c>
      <c r="G71" s="315">
        <v>3007</v>
      </c>
      <c r="H71" s="315">
        <v>-501</v>
      </c>
      <c r="I71" s="315">
        <v>9120</v>
      </c>
      <c r="J71" s="316"/>
      <c r="K71" s="315">
        <v>-501</v>
      </c>
      <c r="L71" s="315">
        <v>9120</v>
      </c>
      <c r="M71" s="304"/>
      <c r="N71" s="315">
        <v>-5659</v>
      </c>
      <c r="O71" s="315">
        <v>-17307</v>
      </c>
      <c r="P71" s="315">
        <v>-2613</v>
      </c>
      <c r="Q71" s="315">
        <v>-1826.8646831376609</v>
      </c>
      <c r="R71" s="315">
        <v>-6230.5552770262439</v>
      </c>
      <c r="S71" s="322">
        <v>1614.1178437876806</v>
      </c>
      <c r="T71" s="297">
        <v>-19529.455884839321</v>
      </c>
      <c r="U71" s="386"/>
      <c r="V71" s="322">
        <v>1614.1178437876806</v>
      </c>
      <c r="W71" s="297">
        <v>-19529.455884839321</v>
      </c>
      <c r="X71" s="263"/>
      <c r="Y71" s="263"/>
      <c r="Z71" s="263"/>
    </row>
    <row r="72" spans="1:26" x14ac:dyDescent="0.3">
      <c r="B72" s="405" t="str">
        <f>CHOOSE(LanguagePage!$C$92,LanguagePage!$C177,LanguagePage!$D177)</f>
        <v>Эффект гиперинфляции</v>
      </c>
      <c r="C72" s="315">
        <v>-56530</v>
      </c>
      <c r="D72" s="315">
        <v>0</v>
      </c>
      <c r="E72" s="315">
        <v>0</v>
      </c>
      <c r="F72" s="315">
        <v>0</v>
      </c>
      <c r="G72" s="315">
        <v>0</v>
      </c>
      <c r="H72" s="315">
        <v>0</v>
      </c>
      <c r="I72" s="315">
        <v>0</v>
      </c>
      <c r="J72" s="316"/>
      <c r="K72" s="315">
        <v>0</v>
      </c>
      <c r="L72" s="315">
        <v>0</v>
      </c>
      <c r="M72" s="304"/>
      <c r="N72" s="315">
        <f t="shared" ref="N72:T72" si="46">C72/N$5</f>
        <v>-47704.641350210972</v>
      </c>
      <c r="O72" s="315">
        <f t="shared" si="46"/>
        <v>0</v>
      </c>
      <c r="P72" s="315">
        <f t="shared" si="46"/>
        <v>0</v>
      </c>
      <c r="Q72" s="315">
        <f t="shared" si="46"/>
        <v>0</v>
      </c>
      <c r="R72" s="315">
        <f t="shared" si="46"/>
        <v>0</v>
      </c>
      <c r="S72" s="315">
        <f t="shared" si="46"/>
        <v>0</v>
      </c>
      <c r="T72" s="315">
        <f t="shared" si="46"/>
        <v>0</v>
      </c>
      <c r="U72" s="386"/>
      <c r="V72" s="315">
        <f>K72/V$5</f>
        <v>0</v>
      </c>
      <c r="W72" s="315">
        <f>L72/W$5</f>
        <v>0</v>
      </c>
    </row>
    <row r="73" spans="1:26" ht="14.4" thickBot="1" x14ac:dyDescent="0.35">
      <c r="B73" s="406" t="str">
        <f>CHOOSE(LanguagePage!$C$92,LanguagePage!$C178,LanguagePage!$D178)</f>
        <v>Денежные средства и их эквиваленты на конец периода</v>
      </c>
      <c r="C73" s="400">
        <f t="shared" ref="C73:I73" si="47">C70+C69+C71+C72</f>
        <v>53622</v>
      </c>
      <c r="D73" s="400">
        <f t="shared" si="47"/>
        <v>59063</v>
      </c>
      <c r="E73" s="400">
        <f t="shared" si="47"/>
        <v>74511</v>
      </c>
      <c r="F73" s="400">
        <f t="shared" si="47"/>
        <v>174019</v>
      </c>
      <c r="G73" s="400">
        <f t="shared" si="47"/>
        <v>176348</v>
      </c>
      <c r="H73" s="400">
        <f t="shared" si="47"/>
        <v>294522</v>
      </c>
      <c r="I73" s="400">
        <f t="shared" si="47"/>
        <v>184238</v>
      </c>
      <c r="J73" s="326"/>
      <c r="K73" s="400">
        <f>K70+K69+K71+K72</f>
        <v>294522</v>
      </c>
      <c r="L73" s="400">
        <f>L70+L69+L71+L72</f>
        <v>184238</v>
      </c>
      <c r="M73" s="304"/>
      <c r="N73" s="400">
        <f>C73/1.185</f>
        <v>45250.6329113924</v>
      </c>
      <c r="O73" s="400">
        <f>D73/1.8569</f>
        <v>31807.313264042223</v>
      </c>
      <c r="P73" s="400">
        <f>E73/1.9585</f>
        <v>38044.932346183305</v>
      </c>
      <c r="Q73" s="400">
        <f>F73/1.9727</f>
        <v>88213.615856440418</v>
      </c>
      <c r="R73" s="400">
        <f>G73/2.1598</f>
        <v>81650.152791925168</v>
      </c>
      <c r="S73" s="400">
        <f>H73/2.1036</f>
        <v>140008.55675984026</v>
      </c>
      <c r="T73" s="400">
        <f>I73/2.5789</f>
        <v>71440.536662918297</v>
      </c>
      <c r="U73" s="386"/>
      <c r="V73" s="400">
        <f>K73/2.1036</f>
        <v>140008.55675984026</v>
      </c>
      <c r="W73" s="400">
        <f>L73/2.5789</f>
        <v>71440.536662918297</v>
      </c>
    </row>
    <row r="74" spans="1:26" ht="14.4" thickTop="1" x14ac:dyDescent="0.3">
      <c r="C74" s="7"/>
    </row>
    <row r="75" spans="1:26" x14ac:dyDescent="0.3">
      <c r="B75" s="171" t="str">
        <f>CHOOSE(LanguagePage!$C$92,LanguagePage!$C180,LanguagePage!$D180)</f>
        <v>[1] Некоторые статьи финансовой отчетности Компании были реклассифицированы.</v>
      </c>
      <c r="C75" s="7"/>
      <c r="N75" s="212"/>
      <c r="O75" s="212"/>
      <c r="P75" s="212"/>
      <c r="Q75" s="212"/>
      <c r="R75" s="212"/>
    </row>
    <row r="76" spans="1:26" x14ac:dyDescent="0.3">
      <c r="B76" s="171" t="str">
        <f>CHOOSE(LanguagePage!$C$92,LanguagePage!$C181,LanguagePage!$D181)</f>
        <v>[2] Для конвертации показателей из BYN в USD в 2014 году был использован обменный курс на 31 декабря 2014 года (не средний за период), т.к. 2014 год был гиперинфляционным.</v>
      </c>
      <c r="C76" s="7"/>
    </row>
    <row r="77" spans="1:26" x14ac:dyDescent="0.3">
      <c r="O77" s="229"/>
      <c r="P77" s="229"/>
      <c r="Q77" s="229"/>
      <c r="R77" s="229"/>
    </row>
  </sheetData>
  <mergeCells count="5">
    <mergeCell ref="B2:E2"/>
    <mergeCell ref="N4:W4"/>
    <mergeCell ref="C4:L4"/>
    <mergeCell ref="C5:I5"/>
    <mergeCell ref="K5:L5"/>
  </mergeCells>
  <hyperlinks>
    <hyperlink ref="B4" location="Contents!A1" display="Contents!A1" xr:uid="{00000000-0004-0000-0300-000000000000}"/>
    <hyperlink ref="W2" location="Contents!A1" display="Contents!A1" xr:uid="{00000000-0004-0000-0300-000001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E498"/>
  </sheetPr>
  <dimension ref="A1:S72"/>
  <sheetViews>
    <sheetView showGridLines="0" zoomScale="70" zoomScaleNormal="70" workbookViewId="0">
      <pane ySplit="6" topLeftCell="A7" activePane="bottomLeft" state="frozen"/>
      <selection activeCell="B2" sqref="B2:E2"/>
      <selection pane="bottomLeft"/>
    </sheetView>
  </sheetViews>
  <sheetFormatPr defaultColWidth="9.109375" defaultRowHeight="13.8" x14ac:dyDescent="0.3"/>
  <cols>
    <col min="1" max="1" width="6" style="36" customWidth="1"/>
    <col min="2" max="2" width="74.6640625" style="2" customWidth="1"/>
    <col min="3" max="7" width="11" style="1" customWidth="1"/>
    <col min="8" max="8" width="3.77734375" style="1" customWidth="1"/>
    <col min="9" max="10" width="11" style="1" customWidth="1"/>
    <col min="11" max="11" width="9.109375" style="1"/>
    <col min="12" max="16" width="11" style="1" customWidth="1"/>
    <col min="17" max="17" width="3.77734375" style="1" customWidth="1"/>
    <col min="18" max="19" width="11" style="1" customWidth="1"/>
    <col min="20" max="16384" width="9.109375" style="1"/>
  </cols>
  <sheetData>
    <row r="1" spans="1:19" ht="14.1" customHeight="1" x14ac:dyDescent="0.3">
      <c r="B1" s="123"/>
      <c r="C1" s="123"/>
      <c r="D1" s="123"/>
      <c r="E1" s="123"/>
      <c r="F1" s="123"/>
      <c r="G1" s="123"/>
      <c r="H1" s="123"/>
      <c r="I1" s="123"/>
      <c r="J1" s="123"/>
      <c r="L1" s="27"/>
    </row>
    <row r="2" spans="1:19" ht="14.1" customHeight="1" x14ac:dyDescent="0.3">
      <c r="B2" s="465" t="str">
        <f>IF(LanguagePage!$C$99=1,LanguagePage!$C$89,LanguagePage!$C$90)</f>
        <v>ОТЧЕТ О ДВИЖЕНИИ ДЕНЕЖНЫХ СРЕДСТВ</v>
      </c>
      <c r="C2" s="465"/>
      <c r="D2" s="465"/>
      <c r="E2" s="465"/>
      <c r="F2" s="465"/>
      <c r="G2" s="465"/>
      <c r="H2" s="465"/>
      <c r="I2" s="465"/>
      <c r="J2" s="292"/>
      <c r="L2" s="27"/>
      <c r="S2" s="211" t="str">
        <f>Contents!$B$2</f>
        <v>СОДЕРЖАНИЕ</v>
      </c>
    </row>
    <row r="3" spans="1:19" ht="14.1" customHeight="1" x14ac:dyDescent="0.3"/>
    <row r="4" spans="1:19" ht="14.1" customHeight="1" x14ac:dyDescent="0.3">
      <c r="B4" s="210" t="str">
        <f>Contents!$B$4</f>
        <v>Выбор языка: РУССКИЙ</v>
      </c>
      <c r="C4" s="474" t="str">
        <f>CHOOSE(LanguagePage!$C$99,LanguagePage!$D$100,LanguagePage!$D$101)</f>
        <v>тыс. BYN</v>
      </c>
      <c r="D4" s="475"/>
      <c r="E4" s="475"/>
      <c r="F4" s="475"/>
      <c r="G4" s="475"/>
      <c r="H4" s="475"/>
      <c r="I4" s="475"/>
      <c r="J4" s="476"/>
      <c r="L4" s="474" t="str">
        <f>CHOOSE(LanguagePage!$C$99,LanguagePage!E100,LanguagePage!E101)</f>
        <v>тыс. USD</v>
      </c>
      <c r="M4" s="475"/>
      <c r="N4" s="475"/>
      <c r="O4" s="475"/>
      <c r="P4" s="475"/>
      <c r="Q4" s="475"/>
      <c r="R4" s="475"/>
      <c r="S4" s="476"/>
    </row>
    <row r="5" spans="1:19" ht="14.1" customHeight="1" x14ac:dyDescent="0.3">
      <c r="C5" s="479" t="s">
        <v>721</v>
      </c>
      <c r="D5" s="479"/>
      <c r="E5" s="479"/>
      <c r="F5" s="479"/>
      <c r="G5" s="479"/>
      <c r="I5" s="479" t="s">
        <v>722</v>
      </c>
      <c r="J5" s="479"/>
      <c r="L5" s="26">
        <v>2.0246</v>
      </c>
      <c r="M5" s="26">
        <v>1.8968</v>
      </c>
      <c r="N5" s="26">
        <v>1.9886999999999999</v>
      </c>
      <c r="O5" s="26">
        <v>2.1187</v>
      </c>
      <c r="P5" s="26">
        <v>2.3342999999999998</v>
      </c>
      <c r="R5" s="26">
        <v>2.1187</v>
      </c>
      <c r="S5" s="26">
        <v>2.3342999999999998</v>
      </c>
    </row>
    <row r="6" spans="1:19" ht="14.1" customHeight="1" x14ac:dyDescent="0.3">
      <c r="B6" s="8"/>
      <c r="C6" s="14" t="str">
        <f>CHOOSE(LanguagePage!$C$99,LanguagePage!D$103,LanguagePage!D$104)</f>
        <v>1П 2016</v>
      </c>
      <c r="D6" s="14" t="str">
        <f>CHOOSE(LanguagePage!$C$99,LanguagePage!E$103,LanguagePage!E$104)</f>
        <v>1П 2017</v>
      </c>
      <c r="E6" s="14" t="str">
        <f>CHOOSE(LanguagePage!$C$99,LanguagePage!F$103,LanguagePage!F$104)</f>
        <v>1П 2018</v>
      </c>
      <c r="F6" s="14" t="str">
        <f>CHOOSE(LanguagePage!$C$99,LanguagePage!G$103,LanguagePage!G$104)</f>
        <v>1П 2019</v>
      </c>
      <c r="G6" s="14" t="str">
        <f>CHOOSE(LanguagePage!$C$99,LanguagePage!H$103,LanguagePage!H$104)</f>
        <v>1П 2020</v>
      </c>
      <c r="I6" s="256" t="str">
        <f>CHOOSE(LanguagePage!$C$99,LanguagePage!I$103,LanguagePage!I$104)</f>
        <v>1П 2019</v>
      </c>
      <c r="J6" s="256" t="str">
        <f>CHOOSE(LanguagePage!$C$99,LanguagePage!J$103,LanguagePage!J$104)</f>
        <v>1П 2020</v>
      </c>
      <c r="L6" s="14" t="str">
        <f>$C$6</f>
        <v>1П 2016</v>
      </c>
      <c r="M6" s="14" t="str">
        <f>$D$6</f>
        <v>1П 2017</v>
      </c>
      <c r="N6" s="14" t="str">
        <f>$E$6</f>
        <v>1П 2018</v>
      </c>
      <c r="O6" s="14" t="str">
        <f>$F$6</f>
        <v>1П 2019</v>
      </c>
      <c r="P6" s="14" t="str">
        <f>$G$6</f>
        <v>1П 2020</v>
      </c>
      <c r="R6" s="254" t="str">
        <f>$I$6</f>
        <v>1П 2019</v>
      </c>
      <c r="S6" s="254" t="str">
        <f>$J$6</f>
        <v>1П 2020</v>
      </c>
    </row>
    <row r="7" spans="1:19" ht="20.399999999999999" customHeight="1" x14ac:dyDescent="0.3">
      <c r="A7" s="37"/>
      <c r="B7" s="10" t="str">
        <f>CHOOSE(LanguagePage!$C$99,LanguagePage!$C107,LanguagePage!$D107)</f>
        <v>Денежные потоки от операционной деятельности</v>
      </c>
      <c r="C7" s="325"/>
      <c r="D7" s="325"/>
      <c r="E7" s="325"/>
      <c r="F7" s="325"/>
      <c r="G7" s="325"/>
      <c r="H7" s="304"/>
      <c r="I7" s="325"/>
      <c r="J7" s="325"/>
      <c r="K7" s="378"/>
      <c r="L7" s="407"/>
      <c r="M7" s="407"/>
      <c r="N7" s="304"/>
      <c r="O7" s="304"/>
      <c r="P7" s="304"/>
      <c r="Q7" s="304"/>
      <c r="R7" s="304"/>
      <c r="S7" s="304"/>
    </row>
    <row r="8" spans="1:19" ht="21.6" customHeight="1" x14ac:dyDescent="0.3">
      <c r="A8" s="37"/>
      <c r="B8" s="401" t="str">
        <f>CHOOSE(LanguagePage!$C$99,LanguagePage!$C108,LanguagePage!$D108)</f>
        <v xml:space="preserve">Прибыль (убыток) за период </v>
      </c>
      <c r="C8" s="385">
        <v>-104063</v>
      </c>
      <c r="D8" s="385">
        <v>58916</v>
      </c>
      <c r="E8" s="385">
        <v>68678</v>
      </c>
      <c r="F8" s="408">
        <v>61735</v>
      </c>
      <c r="G8" s="385">
        <v>-77033</v>
      </c>
      <c r="H8" s="304"/>
      <c r="I8" s="385">
        <v>84415</v>
      </c>
      <c r="J8" s="385">
        <v>-118667</v>
      </c>
      <c r="K8" s="378"/>
      <c r="L8" s="385">
        <f>C8/L$5</f>
        <v>-51399.288748394749</v>
      </c>
      <c r="M8" s="385">
        <f>D8/M$5</f>
        <v>31060.733867566429</v>
      </c>
      <c r="N8" s="385">
        <f>E8/N$5</f>
        <v>34534.117765374365</v>
      </c>
      <c r="O8" s="385">
        <f>F8/O$5</f>
        <v>29138.150752820125</v>
      </c>
      <c r="P8" s="385">
        <f>G8/P$5</f>
        <v>-33000.471233346187</v>
      </c>
      <c r="Q8" s="304"/>
      <c r="R8" s="385">
        <f>I8/R$5</f>
        <v>39842.828149336856</v>
      </c>
      <c r="S8" s="385">
        <f>J8/S$5</f>
        <v>-50836.224992503106</v>
      </c>
    </row>
    <row r="9" spans="1:19" x14ac:dyDescent="0.3">
      <c r="A9" s="37"/>
      <c r="B9" s="350"/>
      <c r="C9" s="327"/>
      <c r="D9" s="327"/>
      <c r="E9" s="327"/>
      <c r="F9" s="327"/>
      <c r="G9" s="327"/>
      <c r="H9" s="327"/>
      <c r="I9" s="327"/>
      <c r="J9" s="327"/>
      <c r="K9" s="378"/>
      <c r="L9" s="327"/>
      <c r="M9" s="327"/>
      <c r="N9" s="327"/>
      <c r="O9" s="327"/>
      <c r="P9" s="327"/>
      <c r="Q9" s="304"/>
      <c r="R9" s="327"/>
      <c r="S9" s="327"/>
    </row>
    <row r="10" spans="1:19" x14ac:dyDescent="0.3">
      <c r="A10" s="37"/>
      <c r="B10" s="351" t="str">
        <f>CHOOSE(LanguagePage!$C$99,LanguagePage!$C110,LanguagePage!$D110)</f>
        <v>Корректировки на:</v>
      </c>
      <c r="C10" s="327"/>
      <c r="D10" s="327"/>
      <c r="E10" s="327"/>
      <c r="F10" s="327"/>
      <c r="G10" s="327"/>
      <c r="H10" s="327"/>
      <c r="I10" s="327"/>
      <c r="J10" s="327"/>
      <c r="K10" s="378"/>
      <c r="L10" s="327"/>
      <c r="M10" s="327"/>
      <c r="N10" s="327"/>
      <c r="O10" s="327"/>
      <c r="P10" s="327"/>
      <c r="Q10" s="304"/>
      <c r="R10" s="327"/>
      <c r="S10" s="327"/>
    </row>
    <row r="11" spans="1:19" x14ac:dyDescent="0.3">
      <c r="A11" s="37"/>
      <c r="B11" s="281" t="str">
        <f>CHOOSE(LanguagePage!$C$99,LanguagePage!$C111,LanguagePage!$D111)</f>
        <v>Расход (выгода) по налогу на прибыль</v>
      </c>
      <c r="C11" s="308">
        <v>-19320</v>
      </c>
      <c r="D11" s="308">
        <v>7067</v>
      </c>
      <c r="E11" s="308">
        <v>17389</v>
      </c>
      <c r="F11" s="316">
        <v>17624</v>
      </c>
      <c r="G11" s="308">
        <v>14204</v>
      </c>
      <c r="H11" s="308"/>
      <c r="I11" s="308">
        <v>22602</v>
      </c>
      <c r="J11" s="308">
        <v>5065</v>
      </c>
      <c r="K11" s="313"/>
      <c r="L11" s="308">
        <f>C11/L$5</f>
        <v>-9542.6257038427339</v>
      </c>
      <c r="M11" s="308">
        <f>D11/M$5</f>
        <v>3725.7486292703502</v>
      </c>
      <c r="N11" s="308">
        <f>E11/N$5</f>
        <v>8743.9030522451849</v>
      </c>
      <c r="O11" s="308">
        <f>F11/O$5</f>
        <v>8318.308396658329</v>
      </c>
      <c r="P11" s="308">
        <f>G11/P$5</f>
        <v>6084.9076811035429</v>
      </c>
      <c r="Q11" s="308"/>
      <c r="R11" s="308">
        <f t="shared" ref="R11:S17" si="0">I11/R$5</f>
        <v>10667.862368433473</v>
      </c>
      <c r="S11" s="308">
        <f t="shared" si="0"/>
        <v>2169.8153622070859</v>
      </c>
    </row>
    <row r="12" spans="1:19" x14ac:dyDescent="0.3">
      <c r="A12" s="37"/>
      <c r="B12" s="282" t="str">
        <f>CHOOSE(LanguagePage!$C$99,LanguagePage!$C113,LanguagePage!$D113)</f>
        <v xml:space="preserve">Амортизация основных средств </v>
      </c>
      <c r="C12" s="315">
        <v>34468</v>
      </c>
      <c r="D12" s="315">
        <v>40411</v>
      </c>
      <c r="E12" s="315">
        <v>39475</v>
      </c>
      <c r="F12" s="315">
        <v>43002</v>
      </c>
      <c r="G12" s="315">
        <v>44720</v>
      </c>
      <c r="H12" s="308"/>
      <c r="I12" s="322">
        <v>37513</v>
      </c>
      <c r="J12" s="322">
        <v>41420</v>
      </c>
      <c r="K12" s="313"/>
      <c r="L12" s="315">
        <f t="shared" ref="L12:O17" si="1">C12/L$5</f>
        <v>17024.597451348414</v>
      </c>
      <c r="M12" s="315">
        <f t="shared" si="1"/>
        <v>21304.829185997471</v>
      </c>
      <c r="N12" s="315">
        <f t="shared" si="1"/>
        <v>19849.6505254689</v>
      </c>
      <c r="O12" s="315">
        <f t="shared" si="1"/>
        <v>20296.408174824184</v>
      </c>
      <c r="P12" s="315">
        <f t="shared" ref="P12:P17" si="2">G12/P$5</f>
        <v>19157.777492181813</v>
      </c>
      <c r="Q12" s="308"/>
      <c r="R12" s="315">
        <f t="shared" si="0"/>
        <v>17705.668570349742</v>
      </c>
      <c r="S12" s="315">
        <f t="shared" si="0"/>
        <v>17744.077453626356</v>
      </c>
    </row>
    <row r="13" spans="1:19" x14ac:dyDescent="0.3">
      <c r="A13" s="37"/>
      <c r="B13" s="282" t="str">
        <f>CHOOSE(LanguagePage!$C$99,LanguagePage!$C114,LanguagePage!$D114)</f>
        <v>Амортизация нематериальных активов</v>
      </c>
      <c r="C13" s="315">
        <v>34</v>
      </c>
      <c r="D13" s="315">
        <v>1097</v>
      </c>
      <c r="E13" s="315">
        <v>1184</v>
      </c>
      <c r="F13" s="315">
        <v>2214</v>
      </c>
      <c r="G13" s="315">
        <v>1705</v>
      </c>
      <c r="H13" s="308"/>
      <c r="I13" s="315">
        <v>2214</v>
      </c>
      <c r="J13" s="315">
        <v>1705</v>
      </c>
      <c r="K13" s="313"/>
      <c r="L13" s="315">
        <f t="shared" si="1"/>
        <v>16.793440679640423</v>
      </c>
      <c r="M13" s="315">
        <f t="shared" si="1"/>
        <v>578.34247153099955</v>
      </c>
      <c r="N13" s="315">
        <f t="shared" si="1"/>
        <v>595.36380550108117</v>
      </c>
      <c r="O13" s="315">
        <f t="shared" si="1"/>
        <v>1044.9804125171095</v>
      </c>
      <c r="P13" s="315">
        <f t="shared" si="2"/>
        <v>730.41168658698541</v>
      </c>
      <c r="Q13" s="308"/>
      <c r="R13" s="315">
        <f t="shared" si="0"/>
        <v>1044.9804125171095</v>
      </c>
      <c r="S13" s="315">
        <f t="shared" si="0"/>
        <v>730.41168658698541</v>
      </c>
    </row>
    <row r="14" spans="1:19" x14ac:dyDescent="0.3">
      <c r="A14" s="37"/>
      <c r="B14" s="282" t="str">
        <f>CHOOSE(LanguagePage!$C$99,LanguagePage!$C115,LanguagePage!$D115)</f>
        <v>Амортизация прав использования</v>
      </c>
      <c r="C14" s="315">
        <v>0</v>
      </c>
      <c r="D14" s="315">
        <v>0</v>
      </c>
      <c r="E14" s="315">
        <v>0</v>
      </c>
      <c r="F14" s="322">
        <v>0</v>
      </c>
      <c r="G14" s="315">
        <v>0</v>
      </c>
      <c r="H14" s="308"/>
      <c r="I14" s="322">
        <v>49108</v>
      </c>
      <c r="J14" s="322">
        <v>47694</v>
      </c>
      <c r="K14" s="313"/>
      <c r="L14" s="315">
        <f t="shared" si="1"/>
        <v>0</v>
      </c>
      <c r="M14" s="315">
        <f t="shared" si="1"/>
        <v>0</v>
      </c>
      <c r="N14" s="315">
        <f t="shared" si="1"/>
        <v>0</v>
      </c>
      <c r="O14" s="315">
        <f t="shared" si="1"/>
        <v>0</v>
      </c>
      <c r="P14" s="315">
        <f t="shared" si="2"/>
        <v>0</v>
      </c>
      <c r="Q14" s="308"/>
      <c r="R14" s="315">
        <f t="shared" si="0"/>
        <v>23178.364091187992</v>
      </c>
      <c r="S14" s="315">
        <f t="shared" si="0"/>
        <v>20431.82110268603</v>
      </c>
    </row>
    <row r="15" spans="1:19" x14ac:dyDescent="0.3">
      <c r="A15" s="37"/>
      <c r="B15" s="282" t="str">
        <f>CHOOSE(LanguagePage!$C$99,LanguagePage!$C116,LanguagePage!$D116)</f>
        <v>Результат от финансовой деятельности</v>
      </c>
      <c r="C15" s="315">
        <v>185486</v>
      </c>
      <c r="D15" s="315">
        <v>74855</v>
      </c>
      <c r="E15" s="315">
        <v>68930</v>
      </c>
      <c r="F15" s="322">
        <v>33052</v>
      </c>
      <c r="G15" s="315">
        <v>211978</v>
      </c>
      <c r="H15" s="308"/>
      <c r="I15" s="322">
        <v>27860</v>
      </c>
      <c r="J15" s="322">
        <v>286688</v>
      </c>
      <c r="K15" s="313"/>
      <c r="L15" s="315">
        <f t="shared" si="1"/>
        <v>91616.121703052457</v>
      </c>
      <c r="M15" s="315">
        <f t="shared" si="1"/>
        <v>39463.833825390131</v>
      </c>
      <c r="N15" s="315">
        <f t="shared" si="1"/>
        <v>34660.833710464125</v>
      </c>
      <c r="O15" s="315">
        <f t="shared" si="1"/>
        <v>15600.132156511068</v>
      </c>
      <c r="P15" s="315">
        <f t="shared" si="2"/>
        <v>90810.092961487389</v>
      </c>
      <c r="Q15" s="308"/>
      <c r="R15" s="315">
        <f t="shared" si="0"/>
        <v>13149.572851276725</v>
      </c>
      <c r="S15" s="315">
        <f t="shared" si="0"/>
        <v>122815.40504648075</v>
      </c>
    </row>
    <row r="16" spans="1:19" x14ac:dyDescent="0.3">
      <c r="A16" s="37"/>
      <c r="B16" s="282" t="str">
        <f>CHOOSE(LanguagePage!$C$99,LanguagePage!$C117,LanguagePage!$D117)</f>
        <v>Изменение резерва под обесценение торговой и прочей дебиторской задолженности</v>
      </c>
      <c r="C16" s="387">
        <v>10334</v>
      </c>
      <c r="D16" s="387">
        <v>1314</v>
      </c>
      <c r="E16" s="387">
        <v>1319</v>
      </c>
      <c r="F16" s="409">
        <v>-121</v>
      </c>
      <c r="G16" s="387">
        <v>1225</v>
      </c>
      <c r="H16" s="390"/>
      <c r="I16" s="409">
        <v>-121</v>
      </c>
      <c r="J16" s="409">
        <v>1225</v>
      </c>
      <c r="K16" s="313"/>
      <c r="L16" s="315">
        <f t="shared" si="1"/>
        <v>5104.2181171589455</v>
      </c>
      <c r="M16" s="315">
        <f t="shared" si="1"/>
        <v>692.74567692956555</v>
      </c>
      <c r="N16" s="315">
        <f t="shared" si="1"/>
        <v>663.24734751345102</v>
      </c>
      <c r="O16" s="315">
        <f t="shared" si="1"/>
        <v>-57.11049228300373</v>
      </c>
      <c r="P16" s="315">
        <f t="shared" si="2"/>
        <v>524.7825900698283</v>
      </c>
      <c r="Q16" s="308"/>
      <c r="R16" s="315">
        <f t="shared" si="0"/>
        <v>-57.11049228300373</v>
      </c>
      <c r="S16" s="315">
        <f t="shared" si="0"/>
        <v>524.7825900698283</v>
      </c>
    </row>
    <row r="17" spans="1:19" x14ac:dyDescent="0.3">
      <c r="A17" s="37"/>
      <c r="B17" s="282" t="str">
        <f>CHOOSE(LanguagePage!$C$99,LanguagePage!$C120,LanguagePage!$D120)</f>
        <v>(Прибыль) убыток от выбытия основных средств</v>
      </c>
      <c r="C17" s="387">
        <v>3382</v>
      </c>
      <c r="D17" s="387">
        <v>1607</v>
      </c>
      <c r="E17" s="387">
        <v>-3468</v>
      </c>
      <c r="F17" s="387">
        <v>1285</v>
      </c>
      <c r="G17" s="387">
        <v>2421</v>
      </c>
      <c r="H17" s="390"/>
      <c r="I17" s="387">
        <v>1285</v>
      </c>
      <c r="J17" s="387">
        <v>2421</v>
      </c>
      <c r="K17" s="313"/>
      <c r="L17" s="315">
        <f t="shared" si="1"/>
        <v>1670.4534228983503</v>
      </c>
      <c r="M17" s="315">
        <f t="shared" si="1"/>
        <v>847.21636440320538</v>
      </c>
      <c r="N17" s="315">
        <f t="shared" si="1"/>
        <v>-1743.852768139991</v>
      </c>
      <c r="O17" s="315">
        <f t="shared" si="1"/>
        <v>606.50398829470896</v>
      </c>
      <c r="P17" s="315">
        <f t="shared" si="2"/>
        <v>1037.1417555584117</v>
      </c>
      <c r="Q17" s="308"/>
      <c r="R17" s="315">
        <f t="shared" si="0"/>
        <v>606.50398829470896</v>
      </c>
      <c r="S17" s="315">
        <f t="shared" si="0"/>
        <v>1037.1417555584117</v>
      </c>
    </row>
    <row r="18" spans="1:19" s="3" customFormat="1" x14ac:dyDescent="0.3">
      <c r="A18" s="20"/>
      <c r="B18" s="310"/>
      <c r="C18" s="362">
        <f>SUM(C11:C17)</f>
        <v>214384</v>
      </c>
      <c r="D18" s="362">
        <f>SUM(D11:D17)</f>
        <v>126351</v>
      </c>
      <c r="E18" s="362">
        <f>SUM(E11:E17)</f>
        <v>124829</v>
      </c>
      <c r="F18" s="362">
        <f t="shared" ref="F18:G18" si="3">SUM(F11:F17)</f>
        <v>97056</v>
      </c>
      <c r="G18" s="362">
        <f t="shared" si="3"/>
        <v>276253</v>
      </c>
      <c r="H18" s="362"/>
      <c r="I18" s="362">
        <f>SUM(I11:I17)</f>
        <v>140461</v>
      </c>
      <c r="J18" s="362">
        <f>SUM(J11:J17)</f>
        <v>386218</v>
      </c>
      <c r="K18" s="317"/>
      <c r="L18" s="362">
        <f>SUM(L11:L17)</f>
        <v>105889.55843129508</v>
      </c>
      <c r="M18" s="362">
        <f>SUM(M11:M17)</f>
        <v>66612.716153521731</v>
      </c>
      <c r="N18" s="362">
        <f>SUM(N11:N17)</f>
        <v>62769.14567305275</v>
      </c>
      <c r="O18" s="362">
        <f>SUM(O11:O17)</f>
        <v>45809.222636522398</v>
      </c>
      <c r="P18" s="362">
        <f>SUM(P11:P17)</f>
        <v>118345.11416698796</v>
      </c>
      <c r="Q18" s="362"/>
      <c r="R18" s="362">
        <f>SUM(R11:R17)</f>
        <v>66295.84178977675</v>
      </c>
      <c r="S18" s="362">
        <f>SUM(S11:S17)</f>
        <v>165453.45499721545</v>
      </c>
    </row>
    <row r="19" spans="1:19" s="3" customFormat="1" x14ac:dyDescent="0.3">
      <c r="A19" s="20"/>
      <c r="B19" s="310"/>
      <c r="C19" s="308"/>
      <c r="D19" s="308"/>
      <c r="E19" s="308"/>
      <c r="F19" s="308"/>
      <c r="G19" s="308"/>
      <c r="H19" s="308"/>
      <c r="I19" s="308"/>
      <c r="J19" s="308"/>
      <c r="K19" s="317"/>
      <c r="L19" s="308"/>
      <c r="M19" s="308"/>
      <c r="N19" s="308"/>
      <c r="O19" s="308"/>
      <c r="P19" s="308"/>
      <c r="Q19" s="308"/>
      <c r="R19" s="308"/>
      <c r="S19" s="308"/>
    </row>
    <row r="20" spans="1:19" s="5" customFormat="1" x14ac:dyDescent="0.3">
      <c r="A20" s="20"/>
      <c r="B20" s="351" t="str">
        <f>CHOOSE(LanguagePage!$C$99,LanguagePage!$C123,LanguagePage!$D123)</f>
        <v>Изменения:</v>
      </c>
      <c r="C20" s="308"/>
      <c r="D20" s="308"/>
      <c r="E20" s="308"/>
      <c r="F20" s="308"/>
      <c r="G20" s="308"/>
      <c r="H20" s="308"/>
      <c r="I20" s="308"/>
      <c r="J20" s="308"/>
      <c r="K20" s="317"/>
      <c r="L20" s="308"/>
      <c r="M20" s="308"/>
      <c r="N20" s="308"/>
      <c r="O20" s="308"/>
      <c r="P20" s="308"/>
      <c r="Q20" s="308"/>
      <c r="R20" s="308"/>
      <c r="S20" s="308"/>
    </row>
    <row r="21" spans="1:19" s="3" customFormat="1" x14ac:dyDescent="0.3">
      <c r="A21" s="20"/>
      <c r="B21" s="281" t="str">
        <f>CHOOSE(LanguagePage!$C$99,LanguagePage!$C124,LanguagePage!$D124)</f>
        <v>Запасы</v>
      </c>
      <c r="C21" s="308">
        <v>-3476</v>
      </c>
      <c r="D21" s="308">
        <v>-4688</v>
      </c>
      <c r="E21" s="308">
        <v>-11605</v>
      </c>
      <c r="F21" s="308">
        <v>8035</v>
      </c>
      <c r="G21" s="316">
        <v>19108</v>
      </c>
      <c r="H21" s="308"/>
      <c r="I21" s="316">
        <v>8035</v>
      </c>
      <c r="J21" s="316">
        <v>19108</v>
      </c>
      <c r="K21" s="317"/>
      <c r="L21" s="308">
        <f t="shared" ref="L21:L30" si="4">C21/L$5</f>
        <v>-1716.8823471302974</v>
      </c>
      <c r="M21" s="308">
        <f t="shared" ref="M21:M30" si="5">D21/M$5</f>
        <v>-2471.5309995782368</v>
      </c>
      <c r="N21" s="308">
        <f>E21/N$5</f>
        <v>-5835.4704078040932</v>
      </c>
      <c r="O21" s="308">
        <f>F21/O$5</f>
        <v>3792.4198801151647</v>
      </c>
      <c r="P21" s="308">
        <f>G21/P$5</f>
        <v>8185.7516171871657</v>
      </c>
      <c r="Q21" s="308"/>
      <c r="R21" s="308">
        <f t="shared" ref="R21:S30" si="6">I21/R$5</f>
        <v>3792.4198801151647</v>
      </c>
      <c r="S21" s="308">
        <f t="shared" si="6"/>
        <v>8185.7516171871657</v>
      </c>
    </row>
    <row r="22" spans="1:19" s="3" customFormat="1" x14ac:dyDescent="0.3">
      <c r="A22" s="20"/>
      <c r="B22" s="282" t="str">
        <f>CHOOSE(LanguagePage!$C$99,LanguagePage!$C125,LanguagePage!$D125)</f>
        <v>Торговая и прочая дебиторская задолженность</v>
      </c>
      <c r="C22" s="315">
        <v>-23275</v>
      </c>
      <c r="D22" s="315">
        <v>-2057</v>
      </c>
      <c r="E22" s="315">
        <v>-23968</v>
      </c>
      <c r="F22" s="322">
        <v>11194</v>
      </c>
      <c r="G22" s="322">
        <v>3214</v>
      </c>
      <c r="H22" s="308"/>
      <c r="I22" s="322">
        <v>11194</v>
      </c>
      <c r="J22" s="322">
        <v>3214</v>
      </c>
      <c r="K22" s="317"/>
      <c r="L22" s="315">
        <f t="shared" si="4"/>
        <v>-11496.097994665613</v>
      </c>
      <c r="M22" s="315">
        <f t="shared" si="5"/>
        <v>-1084.4580345845634</v>
      </c>
      <c r="N22" s="315">
        <f t="shared" ref="N22:N30" si="7">E22/N$5</f>
        <v>-12052.094332981345</v>
      </c>
      <c r="O22" s="315">
        <f t="shared" ref="O22:O30" si="8">F22/O$5</f>
        <v>5283.4285174871384</v>
      </c>
      <c r="P22" s="315">
        <f t="shared" ref="P22:P30" si="9">G22/P$5</f>
        <v>1376.8581587627984</v>
      </c>
      <c r="Q22" s="308"/>
      <c r="R22" s="315">
        <f t="shared" si="6"/>
        <v>5283.4285174871384</v>
      </c>
      <c r="S22" s="315">
        <f t="shared" si="6"/>
        <v>1376.8581587627984</v>
      </c>
    </row>
    <row r="23" spans="1:19" s="3" customFormat="1" x14ac:dyDescent="0.3">
      <c r="A23" s="20"/>
      <c r="B23" s="282" t="str">
        <f>CHOOSE(LanguagePage!$C$99,LanguagePage!$C126,LanguagePage!$D126)</f>
        <v>НДС к возмещению</v>
      </c>
      <c r="C23" s="315">
        <v>5834</v>
      </c>
      <c r="D23" s="315">
        <v>10222</v>
      </c>
      <c r="E23" s="315">
        <v>2142</v>
      </c>
      <c r="F23" s="322">
        <v>9749</v>
      </c>
      <c r="G23" s="322">
        <v>13432</v>
      </c>
      <c r="H23" s="308"/>
      <c r="I23" s="322">
        <v>9749</v>
      </c>
      <c r="J23" s="322">
        <v>13432</v>
      </c>
      <c r="K23" s="317"/>
      <c r="L23" s="315">
        <f t="shared" si="4"/>
        <v>2881.556850735948</v>
      </c>
      <c r="M23" s="315">
        <f t="shared" si="5"/>
        <v>5389.0763390974271</v>
      </c>
      <c r="N23" s="315">
        <f t="shared" si="7"/>
        <v>1077.0855332629355</v>
      </c>
      <c r="O23" s="315">
        <f t="shared" si="8"/>
        <v>4601.4065228677964</v>
      </c>
      <c r="P23" s="315">
        <f t="shared" si="9"/>
        <v>5754.1875508717822</v>
      </c>
      <c r="Q23" s="308"/>
      <c r="R23" s="315">
        <f t="shared" si="6"/>
        <v>4601.4065228677964</v>
      </c>
      <c r="S23" s="315">
        <f t="shared" si="6"/>
        <v>5754.1875508717822</v>
      </c>
    </row>
    <row r="24" spans="1:19" s="3" customFormat="1" x14ac:dyDescent="0.3">
      <c r="A24" s="20"/>
      <c r="B24" s="282" t="str">
        <f>CHOOSE(LanguagePage!$C$99,LanguagePage!$C127,LanguagePage!$D127)</f>
        <v>Предоплаты</v>
      </c>
      <c r="C24" s="315">
        <v>-16571</v>
      </c>
      <c r="D24" s="315">
        <v>-2870</v>
      </c>
      <c r="E24" s="315">
        <v>-17401</v>
      </c>
      <c r="F24" s="322">
        <v>-1150</v>
      </c>
      <c r="G24" s="322">
        <v>-9001</v>
      </c>
      <c r="H24" s="308"/>
      <c r="I24" s="322">
        <v>4402</v>
      </c>
      <c r="J24" s="322">
        <v>-10272</v>
      </c>
      <c r="K24" s="317"/>
      <c r="L24" s="315">
        <f t="shared" si="4"/>
        <v>-8184.8266324212191</v>
      </c>
      <c r="M24" s="315">
        <f t="shared" si="5"/>
        <v>-1513.0746520455505</v>
      </c>
      <c r="N24" s="315">
        <f t="shared" si="7"/>
        <v>-8749.9371448685069</v>
      </c>
      <c r="O24" s="315">
        <f t="shared" si="8"/>
        <v>-542.78567045829993</v>
      </c>
      <c r="P24" s="315">
        <f t="shared" si="9"/>
        <v>-3855.9739536477746</v>
      </c>
      <c r="Q24" s="308"/>
      <c r="R24" s="315">
        <f t="shared" si="6"/>
        <v>2077.6891490064663</v>
      </c>
      <c r="S24" s="315">
        <f t="shared" si="6"/>
        <v>-4400.4626654671638</v>
      </c>
    </row>
    <row r="25" spans="1:19" s="3" customFormat="1" x14ac:dyDescent="0.3">
      <c r="A25" s="20"/>
      <c r="B25" s="282" t="str">
        <f>CHOOSE(LanguagePage!$C$99,LanguagePage!$C128,LanguagePage!$D128)</f>
        <v>Доходы будущих периодов</v>
      </c>
      <c r="C25" s="387">
        <v>-377</v>
      </c>
      <c r="D25" s="387">
        <v>988</v>
      </c>
      <c r="E25" s="387">
        <v>-386</v>
      </c>
      <c r="F25" s="409">
        <v>-393</v>
      </c>
      <c r="G25" s="409">
        <v>-502</v>
      </c>
      <c r="H25" s="321"/>
      <c r="I25" s="409">
        <v>-393</v>
      </c>
      <c r="J25" s="409">
        <v>-502</v>
      </c>
      <c r="K25" s="321"/>
      <c r="L25" s="315">
        <f t="shared" si="4"/>
        <v>-186.20962165365998</v>
      </c>
      <c r="M25" s="315">
        <f t="shared" si="5"/>
        <v>520.87726697595951</v>
      </c>
      <c r="N25" s="315">
        <f t="shared" si="7"/>
        <v>-194.09664605018355</v>
      </c>
      <c r="O25" s="315">
        <f t="shared" si="8"/>
        <v>-185.49110303487987</v>
      </c>
      <c r="P25" s="315">
        <f t="shared" si="9"/>
        <v>-215.05376344086022</v>
      </c>
      <c r="Q25" s="308"/>
      <c r="R25" s="315">
        <f t="shared" si="6"/>
        <v>-185.49110303487987</v>
      </c>
      <c r="S25" s="315">
        <f t="shared" si="6"/>
        <v>-215.05376344086022</v>
      </c>
    </row>
    <row r="26" spans="1:19" s="3" customFormat="1" x14ac:dyDescent="0.3">
      <c r="A26" s="20"/>
      <c r="B26" s="282" t="str">
        <f>CHOOSE(LanguagePage!$C$99,LanguagePage!$C129,LanguagePage!$D129)</f>
        <v>Торговая и прочая кредиторская задолженность</v>
      </c>
      <c r="C26" s="387">
        <v>102913</v>
      </c>
      <c r="D26" s="387">
        <v>-104578</v>
      </c>
      <c r="E26" s="387">
        <v>7868</v>
      </c>
      <c r="F26" s="409">
        <v>-98703</v>
      </c>
      <c r="G26" s="409">
        <v>-286908</v>
      </c>
      <c r="H26" s="390"/>
      <c r="I26" s="409">
        <v>-98703</v>
      </c>
      <c r="J26" s="409">
        <v>-286908</v>
      </c>
      <c r="K26" s="317"/>
      <c r="L26" s="315">
        <f t="shared" si="4"/>
        <v>50831.275313642203</v>
      </c>
      <c r="M26" s="315">
        <f t="shared" si="5"/>
        <v>-55133.909742724587</v>
      </c>
      <c r="N26" s="315">
        <f t="shared" si="7"/>
        <v>3956.353396691306</v>
      </c>
      <c r="O26" s="315">
        <f t="shared" si="8"/>
        <v>-46586.586114126585</v>
      </c>
      <c r="P26" s="315">
        <f t="shared" si="9"/>
        <v>-122909.65171571779</v>
      </c>
      <c r="Q26" s="308"/>
      <c r="R26" s="315">
        <f t="shared" si="6"/>
        <v>-46586.586114126585</v>
      </c>
      <c r="S26" s="315">
        <f t="shared" si="6"/>
        <v>-122909.65171571779</v>
      </c>
    </row>
    <row r="27" spans="1:19" s="3" customFormat="1" x14ac:dyDescent="0.3">
      <c r="A27" s="20"/>
      <c r="B27" s="282" t="str">
        <f>CHOOSE(LanguagePage!$C$99,LanguagePage!$C130,LanguagePage!$D130)</f>
        <v>Кредиты выданные</v>
      </c>
      <c r="C27" s="315">
        <v>-1540</v>
      </c>
      <c r="D27" s="315">
        <v>-1412</v>
      </c>
      <c r="E27" s="315">
        <v>-6945</v>
      </c>
      <c r="F27" s="322">
        <v>-509</v>
      </c>
      <c r="G27" s="322">
        <v>12328</v>
      </c>
      <c r="H27" s="308"/>
      <c r="I27" s="322">
        <v>-509</v>
      </c>
      <c r="J27" s="322">
        <v>12328</v>
      </c>
      <c r="K27" s="317"/>
      <c r="L27" s="315">
        <f t="shared" si="4"/>
        <v>-760.64407784253683</v>
      </c>
      <c r="M27" s="315">
        <f t="shared" si="5"/>
        <v>-744.41164065795022</v>
      </c>
      <c r="N27" s="315">
        <f t="shared" si="7"/>
        <v>-3492.2311057474735</v>
      </c>
      <c r="O27" s="315">
        <f t="shared" si="8"/>
        <v>-240.24165762023881</v>
      </c>
      <c r="P27" s="315">
        <f t="shared" si="9"/>
        <v>5281.2406288823204</v>
      </c>
      <c r="Q27" s="308"/>
      <c r="R27" s="315">
        <f t="shared" si="6"/>
        <v>-240.24165762023881</v>
      </c>
      <c r="S27" s="315">
        <f t="shared" si="6"/>
        <v>5281.2406288823204</v>
      </c>
    </row>
    <row r="28" spans="1:19" s="3" customFormat="1" x14ac:dyDescent="0.3">
      <c r="A28" s="20"/>
      <c r="B28" s="282" t="str">
        <f>CHOOSE(LanguagePage!$C$99,LanguagePage!$C131,LanguagePage!$D131)</f>
        <v>Приобретении облигаций</v>
      </c>
      <c r="C28" s="315">
        <v>0</v>
      </c>
      <c r="D28" s="315">
        <v>0</v>
      </c>
      <c r="E28" s="315">
        <v>15288</v>
      </c>
      <c r="F28" s="322">
        <v>-17836</v>
      </c>
      <c r="G28" s="322">
        <v>0</v>
      </c>
      <c r="H28" s="308"/>
      <c r="I28" s="322">
        <v>-17836</v>
      </c>
      <c r="J28" s="322">
        <v>0</v>
      </c>
      <c r="K28" s="317"/>
      <c r="L28" s="315">
        <f t="shared" si="4"/>
        <v>0</v>
      </c>
      <c r="M28" s="315">
        <f t="shared" si="5"/>
        <v>0</v>
      </c>
      <c r="N28" s="315">
        <f t="shared" si="7"/>
        <v>7687.4340021119324</v>
      </c>
      <c r="O28" s="315">
        <f t="shared" si="8"/>
        <v>-8418.3697550384677</v>
      </c>
      <c r="P28" s="315">
        <f t="shared" si="9"/>
        <v>0</v>
      </c>
      <c r="Q28" s="308"/>
      <c r="R28" s="315">
        <f t="shared" si="6"/>
        <v>-8418.3697550384677</v>
      </c>
      <c r="S28" s="315">
        <f t="shared" si="6"/>
        <v>0</v>
      </c>
    </row>
    <row r="29" spans="1:19" s="3" customFormat="1" x14ac:dyDescent="0.3">
      <c r="A29" s="20"/>
      <c r="B29" s="282" t="str">
        <f>CHOOSE(LanguagePage!$C$99,LanguagePage!$C132,LanguagePage!$D132)</f>
        <v>Активы для продажи</v>
      </c>
      <c r="C29" s="315">
        <v>0</v>
      </c>
      <c r="D29" s="315">
        <v>0</v>
      </c>
      <c r="E29" s="315">
        <v>106</v>
      </c>
      <c r="F29" s="322">
        <v>65</v>
      </c>
      <c r="G29" s="322">
        <v>57</v>
      </c>
      <c r="H29" s="308"/>
      <c r="I29" s="322">
        <v>65</v>
      </c>
      <c r="J29" s="322">
        <v>57</v>
      </c>
      <c r="K29" s="317"/>
      <c r="L29" s="315">
        <f t="shared" si="4"/>
        <v>0</v>
      </c>
      <c r="M29" s="315">
        <f t="shared" si="5"/>
        <v>0</v>
      </c>
      <c r="N29" s="315">
        <f t="shared" si="7"/>
        <v>53.301151506008956</v>
      </c>
      <c r="O29" s="315">
        <f t="shared" si="8"/>
        <v>30.67919006938217</v>
      </c>
      <c r="P29" s="315">
        <f t="shared" si="9"/>
        <v>24.418455211412418</v>
      </c>
      <c r="Q29" s="308"/>
      <c r="R29" s="315">
        <f t="shared" si="6"/>
        <v>30.67919006938217</v>
      </c>
      <c r="S29" s="315">
        <f t="shared" si="6"/>
        <v>24.418455211412418</v>
      </c>
    </row>
    <row r="30" spans="1:19" s="3" customFormat="1" x14ac:dyDescent="0.3">
      <c r="A30" s="20"/>
      <c r="B30" s="282" t="str">
        <f>CHOOSE(LanguagePage!$C$99,LanguagePage!$C133,LanguagePage!$D133)</f>
        <v>Прочие краткосрочные обязательства</v>
      </c>
      <c r="C30" s="315">
        <v>1929</v>
      </c>
      <c r="D30" s="315">
        <v>-178</v>
      </c>
      <c r="E30" s="315">
        <v>2303</v>
      </c>
      <c r="F30" s="322">
        <v>21266</v>
      </c>
      <c r="G30" s="322">
        <v>7505</v>
      </c>
      <c r="H30" s="308"/>
      <c r="I30" s="322">
        <v>21266</v>
      </c>
      <c r="J30" s="322">
        <v>7505</v>
      </c>
      <c r="K30" s="317"/>
      <c r="L30" s="315">
        <f t="shared" si="4"/>
        <v>952.78079620665812</v>
      </c>
      <c r="M30" s="315">
        <f t="shared" si="5"/>
        <v>-93.842260649514969</v>
      </c>
      <c r="N30" s="315">
        <f t="shared" si="7"/>
        <v>1158.0429426258361</v>
      </c>
      <c r="O30" s="315">
        <f t="shared" si="8"/>
        <v>10037.287015622787</v>
      </c>
      <c r="P30" s="315">
        <f t="shared" si="9"/>
        <v>3215.096602835968</v>
      </c>
      <c r="Q30" s="308"/>
      <c r="R30" s="315">
        <f t="shared" si="6"/>
        <v>10037.287015622787</v>
      </c>
      <c r="S30" s="315">
        <f t="shared" si="6"/>
        <v>3215.096602835968</v>
      </c>
    </row>
    <row r="31" spans="1:19" s="3" customFormat="1" x14ac:dyDescent="0.3">
      <c r="A31" s="20"/>
      <c r="B31" s="310"/>
      <c r="C31" s="325"/>
      <c r="D31" s="325"/>
      <c r="E31" s="325"/>
      <c r="F31" s="325"/>
      <c r="G31" s="326"/>
      <c r="H31" s="325"/>
      <c r="I31" s="325"/>
      <c r="J31" s="326"/>
      <c r="K31" s="379"/>
      <c r="L31" s="325"/>
      <c r="M31" s="325"/>
      <c r="N31" s="325"/>
      <c r="O31" s="325"/>
      <c r="P31" s="325"/>
      <c r="Q31" s="325"/>
      <c r="R31" s="325"/>
      <c r="S31" s="325"/>
    </row>
    <row r="32" spans="1:19" s="3" customFormat="1" x14ac:dyDescent="0.3">
      <c r="A32" s="20"/>
      <c r="B32" s="401" t="str">
        <f>CHOOSE(LanguagePage!$C$99,LanguagePage!$C136,LanguagePage!$D136)</f>
        <v>Денежные средства, полученные от операционной деятельности</v>
      </c>
      <c r="C32" s="385">
        <f>C8+C18+SUM(C21:C30)</f>
        <v>175758</v>
      </c>
      <c r="D32" s="385">
        <f>D8+D18+SUM(D21:D30)</f>
        <v>80694</v>
      </c>
      <c r="E32" s="385">
        <f>E8+E18+SUM(E21:E30)</f>
        <v>160909</v>
      </c>
      <c r="F32" s="385">
        <f>F8+F18+SUM(F21:F30)</f>
        <v>90509</v>
      </c>
      <c r="G32" s="385">
        <f>G8+G18+SUM(G21:G30)</f>
        <v>-41547</v>
      </c>
      <c r="H32" s="325"/>
      <c r="I32" s="385">
        <f>I8+I18+SUM(I21:I30)</f>
        <v>162146</v>
      </c>
      <c r="J32" s="385">
        <f>J8+J18+SUM(J21:J30)</f>
        <v>25513</v>
      </c>
      <c r="K32" s="379"/>
      <c r="L32" s="385">
        <f>L8+L18+SUM(L21:L30)</f>
        <v>86811.22196977181</v>
      </c>
      <c r="M32" s="385">
        <f>M8+M18+SUM(M21:M30)</f>
        <v>42542.176296921134</v>
      </c>
      <c r="N32" s="385">
        <f>N8+N18+SUM(N21:N30)</f>
        <v>80911.650827173537</v>
      </c>
      <c r="O32" s="385">
        <f>O8+O18+SUM(O21:O30)</f>
        <v>42719.120215226321</v>
      </c>
      <c r="P32" s="385">
        <f>P8+P18+SUM(P21:P30)</f>
        <v>-17798.483485413206</v>
      </c>
      <c r="Q32" s="325"/>
      <c r="R32" s="385">
        <f>R8+R18+SUM(R21:R30)</f>
        <v>76530.891584462166</v>
      </c>
      <c r="S32" s="385">
        <f>S8+S18+SUM(S21:S30)</f>
        <v>10929.614873837985</v>
      </c>
    </row>
    <row r="33" spans="1:19" s="3" customFormat="1" x14ac:dyDescent="0.3">
      <c r="A33" s="20"/>
      <c r="B33" s="351"/>
      <c r="C33" s="325"/>
      <c r="D33" s="325"/>
      <c r="E33" s="325"/>
      <c r="F33" s="325"/>
      <c r="G33" s="325"/>
      <c r="H33" s="325"/>
      <c r="I33" s="325"/>
      <c r="J33" s="325"/>
      <c r="K33" s="379"/>
      <c r="L33" s="325"/>
      <c r="M33" s="325"/>
      <c r="N33" s="325"/>
      <c r="O33" s="325"/>
      <c r="P33" s="325"/>
      <c r="Q33" s="325"/>
      <c r="R33" s="325"/>
      <c r="S33" s="325"/>
    </row>
    <row r="34" spans="1:19" s="3" customFormat="1" x14ac:dyDescent="0.3">
      <c r="A34" s="20"/>
      <c r="B34" s="318" t="str">
        <f>CHOOSE(LanguagePage!$C$99,LanguagePage!$C137,LanguagePage!$D137)</f>
        <v>Налог на прибыль уплаченный</v>
      </c>
      <c r="C34" s="306">
        <v>-4882</v>
      </c>
      <c r="D34" s="306">
        <v>-1888</v>
      </c>
      <c r="E34" s="306">
        <v>-4425</v>
      </c>
      <c r="F34" s="306">
        <v>-8992</v>
      </c>
      <c r="G34" s="306">
        <v>-3065</v>
      </c>
      <c r="H34" s="308"/>
      <c r="I34" s="306">
        <v>-8992</v>
      </c>
      <c r="J34" s="306">
        <v>-3065</v>
      </c>
      <c r="K34" s="317"/>
      <c r="L34" s="306">
        <f>C34/L$5</f>
        <v>-2411.3405117060161</v>
      </c>
      <c r="M34" s="306">
        <f>D34/M$5</f>
        <v>-995.36060733867566</v>
      </c>
      <c r="N34" s="306">
        <f>E34/N$5</f>
        <v>-2225.0716548499022</v>
      </c>
      <c r="O34" s="306">
        <f>F34/O$5</f>
        <v>-4244.1119554443758</v>
      </c>
      <c r="P34" s="306">
        <f>G34/P$5</f>
        <v>-1313.0274600522641</v>
      </c>
      <c r="Q34" s="308"/>
      <c r="R34" s="306">
        <f>I34/R$5</f>
        <v>-4244.1119554443758</v>
      </c>
      <c r="S34" s="306">
        <f>J34/S$5</f>
        <v>-1313.0274600522641</v>
      </c>
    </row>
    <row r="35" spans="1:19" s="3" customFormat="1" x14ac:dyDescent="0.3">
      <c r="A35" s="20"/>
      <c r="B35" s="351"/>
      <c r="C35" s="327"/>
      <c r="D35" s="327"/>
      <c r="E35" s="327"/>
      <c r="F35" s="327"/>
      <c r="G35" s="327"/>
      <c r="H35" s="327"/>
      <c r="I35" s="327"/>
      <c r="J35" s="328"/>
      <c r="K35" s="379"/>
      <c r="L35" s="327"/>
      <c r="M35" s="327"/>
      <c r="N35" s="327"/>
      <c r="O35" s="327"/>
      <c r="P35" s="327"/>
      <c r="Q35" s="327"/>
      <c r="R35" s="327"/>
      <c r="S35" s="327"/>
    </row>
    <row r="36" spans="1:19" s="3" customFormat="1" x14ac:dyDescent="0.3">
      <c r="A36" s="20"/>
      <c r="B36" s="299" t="str">
        <f>CHOOSE(LanguagePage!$C$99,LanguagePage!$C139,LanguagePage!D139)</f>
        <v>Чистые денежные средства, полученные от операционной деятельности</v>
      </c>
      <c r="C36" s="323">
        <f>C32+C34</f>
        <v>170876</v>
      </c>
      <c r="D36" s="323">
        <f>D32+D34</f>
        <v>78806</v>
      </c>
      <c r="E36" s="323">
        <f>E32+E34</f>
        <v>156484</v>
      </c>
      <c r="F36" s="323">
        <f>F32+F34</f>
        <v>81517</v>
      </c>
      <c r="G36" s="323">
        <f>G32+G34</f>
        <v>-44612</v>
      </c>
      <c r="H36" s="325"/>
      <c r="I36" s="323">
        <f>I32+I34</f>
        <v>153154</v>
      </c>
      <c r="J36" s="323">
        <f>J32+J34</f>
        <v>22448</v>
      </c>
      <c r="K36" s="379"/>
      <c r="L36" s="323">
        <f>L32+L34</f>
        <v>84399.881458065793</v>
      </c>
      <c r="M36" s="323">
        <f>M32+M34</f>
        <v>41546.815689582458</v>
      </c>
      <c r="N36" s="323">
        <f>N32+N34</f>
        <v>78686.579172323633</v>
      </c>
      <c r="O36" s="323">
        <f>O32+O34</f>
        <v>38475.008259781942</v>
      </c>
      <c r="P36" s="323">
        <f>P32+P34</f>
        <v>-19111.51094546547</v>
      </c>
      <c r="Q36" s="325"/>
      <c r="R36" s="323">
        <f>R32+R34</f>
        <v>72286.779629017794</v>
      </c>
      <c r="S36" s="323">
        <f>S32+S34</f>
        <v>9616.5874137857209</v>
      </c>
    </row>
    <row r="37" spans="1:19" s="3" customFormat="1" x14ac:dyDescent="0.3">
      <c r="A37" s="20"/>
      <c r="B37" s="350"/>
      <c r="C37" s="327"/>
      <c r="D37" s="327"/>
      <c r="E37" s="327"/>
      <c r="F37" s="327"/>
      <c r="G37" s="327"/>
      <c r="H37" s="327"/>
      <c r="I37" s="327"/>
      <c r="J37" s="327"/>
      <c r="K37" s="379"/>
      <c r="L37" s="327"/>
      <c r="M37" s="327"/>
      <c r="N37" s="327"/>
      <c r="O37" s="327"/>
      <c r="P37" s="327"/>
      <c r="Q37" s="327"/>
      <c r="R37" s="327"/>
      <c r="S37" s="327"/>
    </row>
    <row r="38" spans="1:19" s="3" customFormat="1" x14ac:dyDescent="0.3">
      <c r="A38" s="20"/>
      <c r="B38" s="10" t="str">
        <f>CHOOSE(LanguagePage!$C$99,LanguagePage!$C141,LanguagePage!$D141)</f>
        <v>Денежные потоки от инвестиционной деятельности</v>
      </c>
      <c r="C38" s="325"/>
      <c r="D38" s="325"/>
      <c r="E38" s="325"/>
      <c r="F38" s="325"/>
      <c r="G38" s="325"/>
      <c r="H38" s="325"/>
      <c r="I38" s="325"/>
      <c r="J38" s="325"/>
      <c r="K38" s="379"/>
      <c r="L38" s="325"/>
      <c r="M38" s="325"/>
      <c r="N38" s="325"/>
      <c r="O38" s="325"/>
      <c r="P38" s="325"/>
      <c r="Q38" s="325"/>
      <c r="R38" s="325"/>
      <c r="S38" s="325"/>
    </row>
    <row r="39" spans="1:19" s="3" customFormat="1" x14ac:dyDescent="0.3">
      <c r="A39" s="20"/>
      <c r="B39" s="310"/>
      <c r="C39" s="365"/>
      <c r="D39" s="365"/>
      <c r="E39" s="365"/>
      <c r="F39" s="365"/>
      <c r="G39" s="365"/>
      <c r="H39" s="365"/>
      <c r="I39" s="365"/>
      <c r="J39" s="365"/>
      <c r="K39" s="379"/>
      <c r="L39" s="365"/>
      <c r="M39" s="365"/>
      <c r="N39" s="365"/>
      <c r="O39" s="365"/>
      <c r="P39" s="365"/>
      <c r="Q39" s="365"/>
      <c r="R39" s="365"/>
      <c r="S39" s="365"/>
    </row>
    <row r="40" spans="1:19" s="3" customFormat="1" x14ac:dyDescent="0.3">
      <c r="A40" s="20"/>
      <c r="B40" s="281" t="str">
        <f>CHOOSE(LanguagePage!$C$99,LanguagePage!$C143,LanguagePage!$D143)</f>
        <v>Приобретение дочерних предприятий без приобретения контроля</v>
      </c>
      <c r="C40" s="308">
        <v>0</v>
      </c>
      <c r="D40" s="308">
        <v>-33</v>
      </c>
      <c r="E40" s="308">
        <v>2102</v>
      </c>
      <c r="F40" s="308">
        <v>0</v>
      </c>
      <c r="G40" s="308">
        <v>0</v>
      </c>
      <c r="H40" s="308"/>
      <c r="I40" s="308">
        <v>0</v>
      </c>
      <c r="J40" s="308">
        <v>0</v>
      </c>
      <c r="K40" s="317"/>
      <c r="L40" s="308">
        <f t="shared" ref="L40:L46" si="10">C40/L$5</f>
        <v>0</v>
      </c>
      <c r="M40" s="308">
        <f>D40/M$5</f>
        <v>-17.397722479966259</v>
      </c>
      <c r="N40" s="308">
        <f>E40/N$5</f>
        <v>1056.9718911851965</v>
      </c>
      <c r="O40" s="308">
        <f>F40/O$5</f>
        <v>0</v>
      </c>
      <c r="P40" s="308">
        <f>G40/P$5</f>
        <v>0</v>
      </c>
      <c r="Q40" s="308"/>
      <c r="R40" s="308">
        <f t="shared" ref="R40:S48" si="11">I40/R$5</f>
        <v>0</v>
      </c>
      <c r="S40" s="308">
        <f t="shared" si="11"/>
        <v>0</v>
      </c>
    </row>
    <row r="41" spans="1:19" s="3" customFormat="1" x14ac:dyDescent="0.3">
      <c r="A41" s="20"/>
      <c r="B41" s="282" t="str">
        <f>CHOOSE(LanguagePage!$C$99,LanguagePage!$C144,LanguagePage!$D144)</f>
        <v>Поступления от реализации основных средств</v>
      </c>
      <c r="C41" s="315">
        <v>3125</v>
      </c>
      <c r="D41" s="315">
        <v>5070</v>
      </c>
      <c r="E41" s="315">
        <v>7422</v>
      </c>
      <c r="F41" s="315">
        <v>93511</v>
      </c>
      <c r="G41" s="315">
        <v>16139</v>
      </c>
      <c r="H41" s="308"/>
      <c r="I41" s="315">
        <v>93511</v>
      </c>
      <c r="J41" s="315">
        <v>16139</v>
      </c>
      <c r="K41" s="317"/>
      <c r="L41" s="315">
        <f t="shared" si="10"/>
        <v>1543.5147683493035</v>
      </c>
      <c r="M41" s="315">
        <f t="shared" ref="M41:O43" si="12">D41/M$5</f>
        <v>2672.9228173766342</v>
      </c>
      <c r="N41" s="315">
        <f t="shared" si="12"/>
        <v>3732.0862875245139</v>
      </c>
      <c r="O41" s="315">
        <f t="shared" si="12"/>
        <v>44136.026808892246</v>
      </c>
      <c r="P41" s="315">
        <f t="shared" ref="P41:P48" si="13">G41/P$5</f>
        <v>6913.8499764383332</v>
      </c>
      <c r="Q41" s="308"/>
      <c r="R41" s="315">
        <f t="shared" si="11"/>
        <v>44136.026808892246</v>
      </c>
      <c r="S41" s="315">
        <f t="shared" si="11"/>
        <v>6913.8499764383332</v>
      </c>
    </row>
    <row r="42" spans="1:19" s="3" customFormat="1" x14ac:dyDescent="0.3">
      <c r="A42" s="20"/>
      <c r="B42" s="282" t="str">
        <f>CHOOSE(LanguagePage!$C$99,LanguagePage!$C145,LanguagePage!$D145)</f>
        <v>Приобретение основных средств</v>
      </c>
      <c r="C42" s="315">
        <v>-36149</v>
      </c>
      <c r="D42" s="315">
        <v>-11447</v>
      </c>
      <c r="E42" s="315">
        <v>-27078</v>
      </c>
      <c r="F42" s="315">
        <v>-46758</v>
      </c>
      <c r="G42" s="315">
        <v>-27472</v>
      </c>
      <c r="H42" s="308"/>
      <c r="I42" s="315">
        <v>-46758</v>
      </c>
      <c r="J42" s="315">
        <v>-27472</v>
      </c>
      <c r="K42" s="317"/>
      <c r="L42" s="315">
        <f t="shared" si="10"/>
        <v>-17854.884915538871</v>
      </c>
      <c r="M42" s="315">
        <f t="shared" si="12"/>
        <v>-6034.9008857022354</v>
      </c>
      <c r="N42" s="315">
        <f t="shared" si="12"/>
        <v>-13615.93000452557</v>
      </c>
      <c r="O42" s="315">
        <f t="shared" si="12"/>
        <v>-22069.193373294944</v>
      </c>
      <c r="P42" s="315">
        <f t="shared" si="13"/>
        <v>-11768.83862399863</v>
      </c>
      <c r="Q42" s="308"/>
      <c r="R42" s="315">
        <f t="shared" si="11"/>
        <v>-22069.193373294944</v>
      </c>
      <c r="S42" s="315">
        <f t="shared" si="11"/>
        <v>-11768.83862399863</v>
      </c>
    </row>
    <row r="43" spans="1:19" s="3" customFormat="1" x14ac:dyDescent="0.3">
      <c r="A43" s="20"/>
      <c r="B43" s="282" t="str">
        <f>CHOOSE(LanguagePage!$C$99,LanguagePage!$C131,LanguagePage!$D131)</f>
        <v>Приобретении облигаций</v>
      </c>
      <c r="C43" s="315">
        <v>-7091</v>
      </c>
      <c r="D43" s="315">
        <v>-20854</v>
      </c>
      <c r="E43" s="315">
        <v>0</v>
      </c>
      <c r="F43" s="315">
        <v>0</v>
      </c>
      <c r="G43" s="315">
        <v>0</v>
      </c>
      <c r="H43" s="308"/>
      <c r="I43" s="315">
        <v>0</v>
      </c>
      <c r="J43" s="315">
        <v>0</v>
      </c>
      <c r="K43" s="317"/>
      <c r="L43" s="315">
        <f t="shared" si="10"/>
        <v>-3502.4202311567719</v>
      </c>
      <c r="M43" s="315">
        <f t="shared" si="12"/>
        <v>-10994.306199915647</v>
      </c>
      <c r="N43" s="315">
        <f t="shared" si="12"/>
        <v>0</v>
      </c>
      <c r="O43" s="315">
        <f t="shared" si="12"/>
        <v>0</v>
      </c>
      <c r="P43" s="315">
        <f t="shared" si="13"/>
        <v>0</v>
      </c>
      <c r="Q43" s="308"/>
      <c r="R43" s="315">
        <f t="shared" si="11"/>
        <v>0</v>
      </c>
      <c r="S43" s="315">
        <f t="shared" si="11"/>
        <v>0</v>
      </c>
    </row>
    <row r="44" spans="1:19" s="3" customFormat="1" x14ac:dyDescent="0.3">
      <c r="A44" s="20"/>
      <c r="B44" s="375" t="str">
        <f>CHOOSE(LanguagePage!$C$99,LanguagePage!$C148,LanguagePage!$D148)</f>
        <v>Прочие финансовые вложения</v>
      </c>
      <c r="C44" s="315"/>
      <c r="D44" s="315"/>
      <c r="E44" s="315"/>
      <c r="F44" s="315">
        <v>0</v>
      </c>
      <c r="G44" s="315">
        <v>1270</v>
      </c>
      <c r="H44" s="308"/>
      <c r="I44" s="315">
        <v>0</v>
      </c>
      <c r="J44" s="315">
        <v>1270</v>
      </c>
      <c r="K44" s="317"/>
      <c r="L44" s="315"/>
      <c r="M44" s="315"/>
      <c r="N44" s="315"/>
      <c r="O44" s="315">
        <f>F44/O$5</f>
        <v>0</v>
      </c>
      <c r="P44" s="315">
        <f t="shared" si="13"/>
        <v>544.0603178683117</v>
      </c>
      <c r="Q44" s="308"/>
      <c r="R44" s="315">
        <f t="shared" si="11"/>
        <v>0</v>
      </c>
      <c r="S44" s="315">
        <f t="shared" si="11"/>
        <v>544.0603178683117</v>
      </c>
    </row>
    <row r="45" spans="1:19" s="3" customFormat="1" x14ac:dyDescent="0.3">
      <c r="A45" s="20"/>
      <c r="B45" s="282" t="str">
        <f>CHOOSE(LanguagePage!$C$99,LanguagePage!$C147,LanguagePage!$D147)</f>
        <v>Приобретение нематериальных активов</v>
      </c>
      <c r="C45" s="315">
        <v>0</v>
      </c>
      <c r="D45" s="315">
        <v>-534</v>
      </c>
      <c r="E45" s="315">
        <v>-1827</v>
      </c>
      <c r="F45" s="315">
        <v>-2756</v>
      </c>
      <c r="G45" s="315">
        <v>-3027</v>
      </c>
      <c r="H45" s="308"/>
      <c r="I45" s="315">
        <v>-2756</v>
      </c>
      <c r="J45" s="315">
        <v>-3027</v>
      </c>
      <c r="K45" s="317"/>
      <c r="L45" s="315">
        <f t="shared" si="10"/>
        <v>0</v>
      </c>
      <c r="M45" s="315">
        <f>D45/M$5</f>
        <v>-281.52678194854491</v>
      </c>
      <c r="N45" s="315">
        <f>E45/N$5</f>
        <v>-918.69060190073924</v>
      </c>
      <c r="O45" s="315">
        <f>F45/O$5</f>
        <v>-1300.797658941804</v>
      </c>
      <c r="P45" s="315">
        <f t="shared" si="13"/>
        <v>-1296.7484899113226</v>
      </c>
      <c r="Q45" s="308"/>
      <c r="R45" s="315">
        <f t="shared" si="11"/>
        <v>-1300.797658941804</v>
      </c>
      <c r="S45" s="315">
        <f t="shared" si="11"/>
        <v>-1296.7484899113226</v>
      </c>
    </row>
    <row r="46" spans="1:19" s="3" customFormat="1" x14ac:dyDescent="0.3">
      <c r="A46" s="20"/>
      <c r="B46" s="282" t="str">
        <f>CHOOSE(LanguagePage!$C$99,LanguagePage!$C151,LanguagePage!$D151)</f>
        <v>Проценты по депозитам полученные</v>
      </c>
      <c r="C46" s="315">
        <v>64</v>
      </c>
      <c r="D46" s="315">
        <v>9</v>
      </c>
      <c r="E46" s="315">
        <v>435</v>
      </c>
      <c r="F46" s="315">
        <v>195</v>
      </c>
      <c r="G46" s="315">
        <v>1349</v>
      </c>
      <c r="H46" s="308"/>
      <c r="I46" s="315">
        <v>195</v>
      </c>
      <c r="J46" s="315">
        <v>1349</v>
      </c>
      <c r="K46" s="317"/>
      <c r="L46" s="315">
        <f t="shared" si="10"/>
        <v>31.611182455793738</v>
      </c>
      <c r="M46" s="315">
        <f>D46/M$5</f>
        <v>4.7448334036271618</v>
      </c>
      <c r="N46" s="315">
        <f>E46/N$5</f>
        <v>218.7358575954141</v>
      </c>
      <c r="O46" s="315">
        <f>F46/O$5</f>
        <v>92.037570208146505</v>
      </c>
      <c r="P46" s="315">
        <f t="shared" si="13"/>
        <v>577.90344000342725</v>
      </c>
      <c r="Q46" s="308"/>
      <c r="R46" s="315">
        <f t="shared" si="11"/>
        <v>92.037570208146505</v>
      </c>
      <c r="S46" s="315">
        <f t="shared" si="11"/>
        <v>577.90344000342725</v>
      </c>
    </row>
    <row r="47" spans="1:19" s="3" customFormat="1" x14ac:dyDescent="0.3">
      <c r="A47" s="20"/>
      <c r="B47" s="375" t="str">
        <f>CHOOSE(LanguagePage!$C$99,LanguagePage!$C149,LanguagePage!$D149)</f>
        <v>Займы выданные</v>
      </c>
      <c r="C47" s="315"/>
      <c r="D47" s="315"/>
      <c r="E47" s="315"/>
      <c r="F47" s="315">
        <v>0</v>
      </c>
      <c r="G47" s="315">
        <v>1932</v>
      </c>
      <c r="H47" s="308"/>
      <c r="I47" s="315">
        <v>0</v>
      </c>
      <c r="J47" s="315">
        <v>1932</v>
      </c>
      <c r="K47" s="317"/>
      <c r="L47" s="315"/>
      <c r="M47" s="315"/>
      <c r="N47" s="315"/>
      <c r="O47" s="315">
        <f>F47/O$5</f>
        <v>0</v>
      </c>
      <c r="P47" s="315">
        <f t="shared" si="13"/>
        <v>827.65711348155776</v>
      </c>
      <c r="Q47" s="308"/>
      <c r="R47" s="315">
        <f t="shared" si="11"/>
        <v>0</v>
      </c>
      <c r="S47" s="315">
        <f t="shared" si="11"/>
        <v>827.65711348155776</v>
      </c>
    </row>
    <row r="48" spans="1:19" s="3" customFormat="1" x14ac:dyDescent="0.3">
      <c r="A48" s="20"/>
      <c r="B48" s="351"/>
      <c r="C48" s="327"/>
      <c r="D48" s="327"/>
      <c r="E48" s="327"/>
      <c r="F48" s="327"/>
      <c r="G48" s="327"/>
      <c r="H48" s="327"/>
      <c r="I48" s="327"/>
      <c r="J48" s="327"/>
      <c r="K48" s="379"/>
      <c r="L48" s="315"/>
      <c r="M48" s="315"/>
      <c r="N48" s="315"/>
      <c r="O48" s="315"/>
      <c r="P48" s="315">
        <f t="shared" si="13"/>
        <v>0</v>
      </c>
      <c r="Q48" s="327"/>
      <c r="R48" s="315"/>
      <c r="S48" s="315">
        <f t="shared" si="11"/>
        <v>0</v>
      </c>
    </row>
    <row r="49" spans="1:19" s="3" customFormat="1" x14ac:dyDescent="0.3">
      <c r="A49" s="20"/>
      <c r="B49" s="299" t="str">
        <f>CHOOSE(LanguagePage!$C$99,LanguagePage!$C155,LanguagePage!$D155)</f>
        <v xml:space="preserve">Чистые ден.средства, использованные в инвестиционной деятельности </v>
      </c>
      <c r="C49" s="323">
        <f>SUM(C40:C46)</f>
        <v>-40051</v>
      </c>
      <c r="D49" s="323">
        <f>SUM(D40:D46)</f>
        <v>-27789</v>
      </c>
      <c r="E49" s="323">
        <f>SUM(E40:E46)</f>
        <v>-18946</v>
      </c>
      <c r="F49" s="323">
        <f>SUM(F40:F47)</f>
        <v>44192</v>
      </c>
      <c r="G49" s="323">
        <f>SUM(G40:G47)</f>
        <v>-9809</v>
      </c>
      <c r="H49" s="325"/>
      <c r="I49" s="323">
        <f>SUM(I40:I47)</f>
        <v>44192</v>
      </c>
      <c r="J49" s="323">
        <f>SUM(J40:J47)</f>
        <v>-9809</v>
      </c>
      <c r="K49" s="379"/>
      <c r="L49" s="323">
        <f>SUM(L40:L46)</f>
        <v>-19782.179195890549</v>
      </c>
      <c r="M49" s="323">
        <f>SUM(M40:M46)</f>
        <v>-14650.463939266134</v>
      </c>
      <c r="N49" s="323">
        <f>SUM(N40:N46)</f>
        <v>-9526.826570121184</v>
      </c>
      <c r="O49" s="323">
        <f>SUM(O40:O47)</f>
        <v>20858.073346863646</v>
      </c>
      <c r="P49" s="323">
        <f>SUM(P40:P47)</f>
        <v>-4202.1162661183234</v>
      </c>
      <c r="Q49" s="325"/>
      <c r="R49" s="323">
        <f>SUM(R40:R47)</f>
        <v>20858.073346863646</v>
      </c>
      <c r="S49" s="323">
        <f>SUM(S40:S47)</f>
        <v>-4202.1162661183234</v>
      </c>
    </row>
    <row r="50" spans="1:19" s="3" customFormat="1" x14ac:dyDescent="0.3">
      <c r="A50" s="20"/>
      <c r="B50" s="402"/>
      <c r="C50" s="325"/>
      <c r="D50" s="325"/>
      <c r="E50" s="325"/>
      <c r="F50" s="325"/>
      <c r="G50" s="325"/>
      <c r="H50" s="325"/>
      <c r="I50" s="325"/>
      <c r="J50" s="325"/>
      <c r="K50" s="379"/>
      <c r="L50" s="325"/>
      <c r="M50" s="325"/>
      <c r="N50" s="325"/>
      <c r="O50" s="325"/>
      <c r="P50" s="325"/>
      <c r="Q50" s="325"/>
      <c r="R50" s="325"/>
      <c r="S50" s="325"/>
    </row>
    <row r="51" spans="1:19" s="3" customFormat="1" x14ac:dyDescent="0.3">
      <c r="A51" s="20"/>
      <c r="B51" s="10" t="str">
        <f>CHOOSE(LanguagePage!$C$99,LanguagePage!$C160,LanguagePage!$D160)</f>
        <v>Денежный поток от финансовой деятельности</v>
      </c>
      <c r="C51" s="325"/>
      <c r="D51" s="325"/>
      <c r="E51" s="325"/>
      <c r="F51" s="325"/>
      <c r="G51" s="325"/>
      <c r="H51" s="325"/>
      <c r="I51" s="325"/>
      <c r="J51" s="325"/>
      <c r="K51" s="379"/>
      <c r="L51" s="325"/>
      <c r="M51" s="325"/>
      <c r="N51" s="325"/>
      <c r="O51" s="325"/>
      <c r="P51" s="325"/>
      <c r="Q51" s="325"/>
      <c r="R51" s="325"/>
      <c r="S51" s="325"/>
    </row>
    <row r="52" spans="1:19" s="3" customFormat="1" x14ac:dyDescent="0.3">
      <c r="A52" s="20"/>
      <c r="B52" s="281" t="str">
        <f>CHOOSE(LanguagePage!$C$92,LanguagePage!$C162,LanguagePage!$D162)</f>
        <v>Увеличение уставного фонда</v>
      </c>
      <c r="C52" s="308">
        <v>0</v>
      </c>
      <c r="D52" s="308">
        <v>0</v>
      </c>
      <c r="E52" s="308">
        <v>57</v>
      </c>
      <c r="F52" s="308">
        <v>0</v>
      </c>
      <c r="G52" s="308">
        <v>0</v>
      </c>
      <c r="H52" s="308"/>
      <c r="I52" s="308">
        <v>0</v>
      </c>
      <c r="J52" s="308">
        <v>0</v>
      </c>
      <c r="K52" s="317"/>
      <c r="L52" s="308">
        <f t="shared" ref="L52:L60" si="14">C52/L$5</f>
        <v>0</v>
      </c>
      <c r="M52" s="308">
        <f t="shared" ref="M52:M60" si="15">D52/M$5</f>
        <v>0</v>
      </c>
      <c r="N52" s="308">
        <f t="shared" ref="N52:N60" si="16">E52/N$5</f>
        <v>28.661939960778398</v>
      </c>
      <c r="O52" s="308">
        <f t="shared" ref="O52:P61" si="17">F52/O$5</f>
        <v>0</v>
      </c>
      <c r="P52" s="308">
        <f t="shared" si="17"/>
        <v>0</v>
      </c>
      <c r="Q52" s="308"/>
      <c r="R52" s="308">
        <f>I52/R$5</f>
        <v>0</v>
      </c>
      <c r="S52" s="308">
        <f>J52/S$5</f>
        <v>0</v>
      </c>
    </row>
    <row r="53" spans="1:19" s="3" customFormat="1" x14ac:dyDescent="0.3">
      <c r="A53" s="20"/>
      <c r="B53" s="282" t="str">
        <f>CHOOSE(LanguagePage!$C$99,LanguagePage!$C163,LanguagePage!$D163)</f>
        <v>Займы и кредиты полученные</v>
      </c>
      <c r="C53" s="315">
        <v>303758</v>
      </c>
      <c r="D53" s="315">
        <v>320869</v>
      </c>
      <c r="E53" s="315">
        <v>542739</v>
      </c>
      <c r="F53" s="315">
        <v>373889</v>
      </c>
      <c r="G53" s="315">
        <v>483285</v>
      </c>
      <c r="H53" s="308"/>
      <c r="I53" s="315">
        <v>373889</v>
      </c>
      <c r="J53" s="315">
        <v>483285</v>
      </c>
      <c r="K53" s="317"/>
      <c r="L53" s="315">
        <f t="shared" si="14"/>
        <v>150033.58688135928</v>
      </c>
      <c r="M53" s="315">
        <f t="shared" si="15"/>
        <v>169163.32770982708</v>
      </c>
      <c r="N53" s="315">
        <f t="shared" si="16"/>
        <v>272911.44969075278</v>
      </c>
      <c r="O53" s="315">
        <f t="shared" si="17"/>
        <v>176470.94916694198</v>
      </c>
      <c r="P53" s="315">
        <f t="shared" si="17"/>
        <v>207036.37064644648</v>
      </c>
      <c r="Q53" s="308"/>
      <c r="R53" s="315">
        <f t="shared" ref="R53:R61" si="18">I53/R$5</f>
        <v>176470.94916694198</v>
      </c>
      <c r="S53" s="315">
        <f t="shared" ref="S53:S61" si="19">J53/S$5</f>
        <v>207036.37064644648</v>
      </c>
    </row>
    <row r="54" spans="1:19" s="3" customFormat="1" x14ac:dyDescent="0.3">
      <c r="A54" s="20"/>
      <c r="B54" s="282" t="str">
        <f>CHOOSE(LanguagePage!$C$99,LanguagePage!$C164,LanguagePage!$D164)</f>
        <v>Займы и кредиты погашенные</v>
      </c>
      <c r="C54" s="315">
        <v>-366630</v>
      </c>
      <c r="D54" s="315">
        <v>-326239</v>
      </c>
      <c r="E54" s="315">
        <v>-665029</v>
      </c>
      <c r="F54" s="322">
        <v>-360993</v>
      </c>
      <c r="G54" s="322">
        <v>-405954</v>
      </c>
      <c r="H54" s="316"/>
      <c r="I54" s="322">
        <v>-360993</v>
      </c>
      <c r="J54" s="315">
        <v>-405954</v>
      </c>
      <c r="K54" s="317"/>
      <c r="L54" s="315">
        <f t="shared" si="14"/>
        <v>-181087.62224636966</v>
      </c>
      <c r="M54" s="315">
        <f t="shared" si="15"/>
        <v>-171994.41164065796</v>
      </c>
      <c r="N54" s="315">
        <f t="shared" si="16"/>
        <v>-334403.88193292101</v>
      </c>
      <c r="O54" s="315">
        <f t="shared" si="17"/>
        <v>-170384.19785717656</v>
      </c>
      <c r="P54" s="315">
        <f t="shared" si="17"/>
        <v>-173908.23801567924</v>
      </c>
      <c r="Q54" s="308"/>
      <c r="R54" s="315">
        <f t="shared" si="18"/>
        <v>-170384.19785717656</v>
      </c>
      <c r="S54" s="315">
        <f t="shared" si="19"/>
        <v>-173908.23801567924</v>
      </c>
    </row>
    <row r="55" spans="1:19" s="3" customFormat="1" x14ac:dyDescent="0.3">
      <c r="A55" s="20"/>
      <c r="B55" s="282" t="str">
        <f>CHOOSE(LanguagePage!$C$99,LanguagePage!$C165,LanguagePage!$D$165)</f>
        <v>Проценты по кредитам и займам уплаченным</v>
      </c>
      <c r="C55" s="315">
        <v>-65493</v>
      </c>
      <c r="D55" s="315">
        <v>-62091</v>
      </c>
      <c r="E55" s="315">
        <v>-61381</v>
      </c>
      <c r="F55" s="322">
        <v>-57456</v>
      </c>
      <c r="G55" s="322">
        <v>-53511</v>
      </c>
      <c r="H55" s="316"/>
      <c r="I55" s="322">
        <v>-57456</v>
      </c>
      <c r="J55" s="315">
        <v>-53511</v>
      </c>
      <c r="K55" s="317"/>
      <c r="L55" s="315">
        <f t="shared" si="14"/>
        <v>-32348.6120715203</v>
      </c>
      <c r="M55" s="315">
        <f t="shared" si="15"/>
        <v>-32734.605651623788</v>
      </c>
      <c r="N55" s="315">
        <f t="shared" si="16"/>
        <v>-30864.88660934279</v>
      </c>
      <c r="O55" s="315">
        <f t="shared" si="17"/>
        <v>-27118.51607117572</v>
      </c>
      <c r="P55" s="315">
        <f t="shared" si="17"/>
        <v>-22923.788716103329</v>
      </c>
      <c r="Q55" s="308"/>
      <c r="R55" s="315">
        <f>I55/R$5</f>
        <v>-27118.51607117572</v>
      </c>
      <c r="S55" s="315">
        <f t="shared" si="19"/>
        <v>-22923.788716103329</v>
      </c>
    </row>
    <row r="56" spans="1:19" s="3" customFormat="1" x14ac:dyDescent="0.3">
      <c r="A56" s="20"/>
      <c r="B56" s="282" t="str">
        <f>CHOOSE(LanguagePage!$C$99,LanguagePage!$C167,LanguagePage!$D$167)</f>
        <v>Финансирование сделок sales leaseback</v>
      </c>
      <c r="C56" s="315">
        <v>0</v>
      </c>
      <c r="D56" s="315">
        <v>0</v>
      </c>
      <c r="E56" s="315">
        <v>35707</v>
      </c>
      <c r="F56" s="322">
        <v>0</v>
      </c>
      <c r="G56" s="322">
        <v>0</v>
      </c>
      <c r="H56" s="316"/>
      <c r="I56" s="322">
        <v>0</v>
      </c>
      <c r="J56" s="315">
        <v>0</v>
      </c>
      <c r="K56" s="317"/>
      <c r="L56" s="315">
        <f t="shared" si="14"/>
        <v>0</v>
      </c>
      <c r="M56" s="315">
        <f t="shared" si="15"/>
        <v>0</v>
      </c>
      <c r="N56" s="315">
        <f t="shared" si="16"/>
        <v>17954.945441745866</v>
      </c>
      <c r="O56" s="315">
        <f t="shared" si="17"/>
        <v>0</v>
      </c>
      <c r="P56" s="315">
        <f t="shared" si="17"/>
        <v>0</v>
      </c>
      <c r="Q56" s="308"/>
      <c r="R56" s="315">
        <f t="shared" si="18"/>
        <v>0</v>
      </c>
      <c r="S56" s="315">
        <f t="shared" si="19"/>
        <v>0</v>
      </c>
    </row>
    <row r="57" spans="1:19" s="3" customFormat="1" x14ac:dyDescent="0.3">
      <c r="A57" s="20"/>
      <c r="B57" s="375" t="str">
        <f>CHOOSE(LanguagePage!$C$99,LanguagePage!$C166,LanguagePage!$D$166)</f>
        <v>Погашение обязательств по договорам аренды</v>
      </c>
      <c r="C57" s="315">
        <v>0</v>
      </c>
      <c r="D57" s="315">
        <v>0</v>
      </c>
      <c r="E57" s="315">
        <v>0</v>
      </c>
      <c r="F57" s="322">
        <v>0</v>
      </c>
      <c r="G57" s="322">
        <v>0</v>
      </c>
      <c r="H57" s="316"/>
      <c r="I57" s="322">
        <v>-71637</v>
      </c>
      <c r="J57" s="315">
        <v>-67060</v>
      </c>
      <c r="K57" s="317"/>
      <c r="L57" s="315">
        <f t="shared" si="14"/>
        <v>0</v>
      </c>
      <c r="M57" s="315">
        <f t="shared" si="15"/>
        <v>0</v>
      </c>
      <c r="N57" s="315">
        <f t="shared" si="16"/>
        <v>0</v>
      </c>
      <c r="O57" s="410">
        <f>F57/O$5</f>
        <v>0</v>
      </c>
      <c r="P57" s="410">
        <f t="shared" si="17"/>
        <v>0</v>
      </c>
      <c r="Q57" s="308"/>
      <c r="R57" s="315">
        <f t="shared" si="18"/>
        <v>-33811.771369235852</v>
      </c>
      <c r="S57" s="315">
        <f t="shared" si="19"/>
        <v>-28728.098359251169</v>
      </c>
    </row>
    <row r="58" spans="1:19" s="3" customFormat="1" x14ac:dyDescent="0.3">
      <c r="A58" s="20"/>
      <c r="B58" s="375" t="str">
        <f>CHOOSE(LanguagePage!$C$99,LanguagePage!$C168,LanguagePage!$D168)</f>
        <v>Погашение задолженности по финансовой аренде</v>
      </c>
      <c r="C58" s="315">
        <v>-11412</v>
      </c>
      <c r="D58" s="315">
        <v>-10789</v>
      </c>
      <c r="E58" s="315">
        <v>-20688</v>
      </c>
      <c r="F58" s="322">
        <v>-50612</v>
      </c>
      <c r="G58" s="322">
        <v>-5784</v>
      </c>
      <c r="H58" s="316"/>
      <c r="I58" s="322">
        <v>-50612</v>
      </c>
      <c r="J58" s="315">
        <v>-5784</v>
      </c>
      <c r="K58" s="393"/>
      <c r="L58" s="315">
        <f t="shared" si="14"/>
        <v>-5636.6689716487208</v>
      </c>
      <c r="M58" s="315">
        <f t="shared" si="15"/>
        <v>-5688.0008435259379</v>
      </c>
      <c r="N58" s="315">
        <f t="shared" si="16"/>
        <v>-10402.775682606729</v>
      </c>
      <c r="O58" s="315">
        <f t="shared" si="17"/>
        <v>-23888.233350639544</v>
      </c>
      <c r="P58" s="315">
        <f t="shared" si="17"/>
        <v>-2477.8306130317442</v>
      </c>
      <c r="Q58" s="308"/>
      <c r="R58" s="315">
        <f t="shared" si="18"/>
        <v>-23888.233350639544</v>
      </c>
      <c r="S58" s="315">
        <f t="shared" si="19"/>
        <v>-2477.8306130317442</v>
      </c>
    </row>
    <row r="59" spans="1:19" s="3" customFormat="1" x14ac:dyDescent="0.3">
      <c r="A59" s="20"/>
      <c r="B59" s="375" t="str">
        <f>CHOOSE(LanguagePage!$C$99,LanguagePage!$C169,LanguagePage!$D169)</f>
        <v>Погашение процентов по финансовой аренде</v>
      </c>
      <c r="C59" s="315">
        <v>-5233</v>
      </c>
      <c r="D59" s="315">
        <v>-4256</v>
      </c>
      <c r="E59" s="315">
        <v>-6872</v>
      </c>
      <c r="F59" s="322">
        <v>0</v>
      </c>
      <c r="G59" s="322">
        <v>0</v>
      </c>
      <c r="H59" s="316"/>
      <c r="I59" s="322">
        <v>0</v>
      </c>
      <c r="J59" s="315">
        <v>0</v>
      </c>
      <c r="K59" s="393"/>
      <c r="L59" s="315">
        <f t="shared" si="14"/>
        <v>-2584.7080904870099</v>
      </c>
      <c r="M59" s="315">
        <f t="shared" si="15"/>
        <v>-2243.7789962041334</v>
      </c>
      <c r="N59" s="315">
        <f t="shared" si="16"/>
        <v>-3455.5237089555994</v>
      </c>
      <c r="O59" s="315">
        <f t="shared" si="17"/>
        <v>0</v>
      </c>
      <c r="P59" s="315">
        <f t="shared" si="17"/>
        <v>0</v>
      </c>
      <c r="Q59" s="308"/>
      <c r="R59" s="315">
        <f t="shared" si="18"/>
        <v>0</v>
      </c>
      <c r="S59" s="315">
        <f t="shared" si="19"/>
        <v>0</v>
      </c>
    </row>
    <row r="60" spans="1:19" s="3" customFormat="1" x14ac:dyDescent="0.3">
      <c r="A60" s="20"/>
      <c r="B60" s="282" t="str">
        <f>CHOOSE(LanguagePage!$C$99,LanguagePage!$C170,LanguagePage!$D170)</f>
        <v>Выплата НДС по финансовой аренде</v>
      </c>
      <c r="C60" s="315">
        <v>0</v>
      </c>
      <c r="D60" s="315">
        <v>0</v>
      </c>
      <c r="E60" s="315">
        <v>-5517</v>
      </c>
      <c r="F60" s="315">
        <v>-10120</v>
      </c>
      <c r="G60" s="315">
        <v>-1157</v>
      </c>
      <c r="H60" s="308"/>
      <c r="I60" s="315">
        <v>-10120</v>
      </c>
      <c r="J60" s="315">
        <v>-1157</v>
      </c>
      <c r="K60" s="393"/>
      <c r="L60" s="315">
        <f t="shared" si="14"/>
        <v>0</v>
      </c>
      <c r="M60" s="315">
        <f t="shared" si="15"/>
        <v>0</v>
      </c>
      <c r="N60" s="315">
        <f t="shared" si="16"/>
        <v>-2774.174083572183</v>
      </c>
      <c r="O60" s="315">
        <f t="shared" si="17"/>
        <v>-4776.5139000330391</v>
      </c>
      <c r="P60" s="315">
        <f t="shared" si="17"/>
        <v>-495.65180139656434</v>
      </c>
      <c r="Q60" s="308"/>
      <c r="R60" s="315">
        <f t="shared" si="18"/>
        <v>-4776.5139000330391</v>
      </c>
      <c r="S60" s="315">
        <f t="shared" si="19"/>
        <v>-495.65180139656434</v>
      </c>
    </row>
    <row r="61" spans="1:19" s="3" customFormat="1" x14ac:dyDescent="0.3">
      <c r="A61" s="20"/>
      <c r="B61" s="375" t="str">
        <f>CHOOSE(LanguagePage!$C$99,LanguagePage!$C161,LanguagePage!$D161)</f>
        <v>Выплата дивидендов</v>
      </c>
      <c r="C61" s="315"/>
      <c r="D61" s="315"/>
      <c r="E61" s="315"/>
      <c r="F61" s="315">
        <v>0</v>
      </c>
      <c r="G61" s="315">
        <v>-21158</v>
      </c>
      <c r="H61" s="308"/>
      <c r="I61" s="315">
        <v>0</v>
      </c>
      <c r="J61" s="315">
        <v>-21158</v>
      </c>
      <c r="K61" s="393"/>
      <c r="L61" s="315"/>
      <c r="M61" s="315"/>
      <c r="N61" s="315"/>
      <c r="O61" s="315">
        <f t="shared" si="17"/>
        <v>0</v>
      </c>
      <c r="P61" s="315">
        <f t="shared" si="17"/>
        <v>-9063.9592168958588</v>
      </c>
      <c r="Q61" s="308"/>
      <c r="R61" s="315">
        <f t="shared" si="18"/>
        <v>0</v>
      </c>
      <c r="S61" s="315">
        <f t="shared" si="19"/>
        <v>-9063.9592168958588</v>
      </c>
    </row>
    <row r="62" spans="1:19" s="3" customFormat="1" x14ac:dyDescent="0.3">
      <c r="A62" s="20"/>
      <c r="B62" s="351"/>
      <c r="C62" s="394"/>
      <c r="D62" s="395"/>
      <c r="E62" s="395"/>
      <c r="F62" s="395"/>
      <c r="G62" s="395"/>
      <c r="H62" s="395"/>
      <c r="I62" s="395"/>
      <c r="J62" s="395"/>
      <c r="K62" s="321"/>
      <c r="L62" s="394"/>
      <c r="M62" s="395"/>
      <c r="N62" s="395"/>
      <c r="O62" s="395"/>
      <c r="P62" s="395"/>
      <c r="Q62" s="395"/>
      <c r="R62" s="395"/>
      <c r="S62" s="395"/>
    </row>
    <row r="63" spans="1:19" s="3" customFormat="1" x14ac:dyDescent="0.3">
      <c r="A63" s="20"/>
      <c r="B63" s="299" t="str">
        <f>CHOOSE(LanguagePage!$C$99,LanguagePage!$C172,LanguagePage!$D172)</f>
        <v>Чистые денежные средства, использованные в финансовой деятельности</v>
      </c>
      <c r="C63" s="323">
        <f>SUM(C52:C60)</f>
        <v>-145010</v>
      </c>
      <c r="D63" s="323">
        <f>SUM(D52:D60)</f>
        <v>-82506</v>
      </c>
      <c r="E63" s="323">
        <f>SUM(E52:E60)</f>
        <v>-180984</v>
      </c>
      <c r="F63" s="323">
        <f>SUM(F52:F61)</f>
        <v>-105292</v>
      </c>
      <c r="G63" s="323">
        <f>SUM(G52:G61)</f>
        <v>-4279</v>
      </c>
      <c r="H63" s="325"/>
      <c r="I63" s="323">
        <f>SUM(I52:I61)</f>
        <v>-176929</v>
      </c>
      <c r="J63" s="323">
        <f>SUM(J52:J61)</f>
        <v>-71339</v>
      </c>
      <c r="K63" s="321"/>
      <c r="L63" s="323">
        <f>SUM(L52:L60)</f>
        <v>-71624.024498666404</v>
      </c>
      <c r="M63" s="323">
        <f>SUM(M52:M60)</f>
        <v>-43497.469422184739</v>
      </c>
      <c r="N63" s="323">
        <f>SUM(N52:N60)</f>
        <v>-91006.184944938897</v>
      </c>
      <c r="O63" s="323">
        <f>SUM(O52:O61)</f>
        <v>-49696.512012082887</v>
      </c>
      <c r="P63" s="323">
        <f>SUM(P52:P61)</f>
        <v>-1833.0977166602534</v>
      </c>
      <c r="Q63" s="325"/>
      <c r="R63" s="323">
        <f>SUM(R52:R61)</f>
        <v>-83508.283381318746</v>
      </c>
      <c r="S63" s="323">
        <f>SUM(S52:S61)</f>
        <v>-30561.196075911423</v>
      </c>
    </row>
    <row r="64" spans="1:19" s="3" customFormat="1" ht="14.4" thickBot="1" x14ac:dyDescent="0.35">
      <c r="A64" s="38"/>
      <c r="B64" s="403"/>
      <c r="C64" s="397"/>
      <c r="D64" s="398"/>
      <c r="E64" s="398"/>
      <c r="F64" s="398"/>
      <c r="G64" s="398"/>
      <c r="H64" s="395"/>
      <c r="I64" s="398"/>
      <c r="J64" s="398"/>
      <c r="K64" s="321"/>
      <c r="L64" s="397"/>
      <c r="M64" s="398"/>
      <c r="N64" s="398"/>
      <c r="O64" s="398"/>
      <c r="P64" s="398"/>
      <c r="Q64" s="395"/>
      <c r="R64" s="398"/>
      <c r="S64" s="398"/>
    </row>
    <row r="65" spans="1:19" s="3" customFormat="1" ht="14.4" thickTop="1" x14ac:dyDescent="0.3">
      <c r="A65" s="38"/>
      <c r="B65" s="401" t="str">
        <f>CHOOSE(LanguagePage!$C$99,LanguagePage!$C174,LanguagePage!$D174)</f>
        <v>Чистый приток денежных средств и их эквивалентов</v>
      </c>
      <c r="C65" s="399">
        <f>C36+C49+C63</f>
        <v>-14185</v>
      </c>
      <c r="D65" s="399">
        <f>D36+D49+D63</f>
        <v>-31489</v>
      </c>
      <c r="E65" s="399">
        <f>E36+E49+E63</f>
        <v>-43446</v>
      </c>
      <c r="F65" s="399">
        <f>F36+F49+F63</f>
        <v>20417</v>
      </c>
      <c r="G65" s="399">
        <f>G36+G49+G63</f>
        <v>-58700</v>
      </c>
      <c r="H65" s="325"/>
      <c r="I65" s="399">
        <f>I36+I49+I63</f>
        <v>20417</v>
      </c>
      <c r="J65" s="399">
        <f>J36+J49+J63</f>
        <v>-58700</v>
      </c>
      <c r="K65" s="321"/>
      <c r="L65" s="399">
        <f>L63+L49+L36</f>
        <v>-7006.3222364911635</v>
      </c>
      <c r="M65" s="399">
        <f>M63+M49+M36</f>
        <v>-16601.117671868415</v>
      </c>
      <c r="N65" s="399">
        <f>N63+N49+N36</f>
        <v>-21846.432342736443</v>
      </c>
      <c r="O65" s="399">
        <f>O63+O49+O36</f>
        <v>9636.5695945627012</v>
      </c>
      <c r="P65" s="399">
        <f>P63+P49+P36</f>
        <v>-25146.724928244046</v>
      </c>
      <c r="Q65" s="325"/>
      <c r="R65" s="399">
        <f>R63+R49+R36</f>
        <v>9636.569594562694</v>
      </c>
      <c r="S65" s="399">
        <f>S63+S49+S36</f>
        <v>-25146.724928244028</v>
      </c>
    </row>
    <row r="66" spans="1:19" x14ac:dyDescent="0.3">
      <c r="B66" s="404" t="str">
        <f>CHOOSE(LanguagePage!$C$99,LanguagePage!$C175,LanguagePage!$D175)</f>
        <v>Денежные средства и их эквиваленты на 1 января</v>
      </c>
      <c r="C66" s="380">
        <v>59063</v>
      </c>
      <c r="D66" s="380">
        <v>74511</v>
      </c>
      <c r="E66" s="380">
        <v>174019</v>
      </c>
      <c r="F66" s="380">
        <v>176348</v>
      </c>
      <c r="G66" s="380">
        <v>294522</v>
      </c>
      <c r="H66" s="362"/>
      <c r="I66" s="380">
        <v>176348</v>
      </c>
      <c r="J66" s="380">
        <v>294522</v>
      </c>
      <c r="K66" s="304"/>
      <c r="L66" s="380">
        <f>C66/1.8569</f>
        <v>31807.313264042223</v>
      </c>
      <c r="M66" s="380">
        <f>D66/1.9585</f>
        <v>38044.932346183305</v>
      </c>
      <c r="N66" s="380">
        <f>E66/1.9727</f>
        <v>88213.615856440418</v>
      </c>
      <c r="O66" s="380">
        <f>F66/2.1598</f>
        <v>81650.152791925168</v>
      </c>
      <c r="P66" s="380">
        <f>G66/2.1085</f>
        <v>139683.18709983403</v>
      </c>
      <c r="Q66" s="362"/>
      <c r="R66" s="380">
        <f>I66/2.1598</f>
        <v>81650.152791925168</v>
      </c>
      <c r="S66" s="380">
        <f>J66/2.1085</f>
        <v>139683.18709983403</v>
      </c>
    </row>
    <row r="67" spans="1:19" x14ac:dyDescent="0.3">
      <c r="B67" s="405" t="str">
        <f>CHOOSE(LanguagePage!$C$99,LanguagePage!$C176,LanguagePage!$D176)</f>
        <v>Эффект пересчета в валюту представления</v>
      </c>
      <c r="C67" s="315">
        <v>-1766</v>
      </c>
      <c r="D67" s="315">
        <v>-170</v>
      </c>
      <c r="E67" s="315">
        <v>-171</v>
      </c>
      <c r="F67" s="315">
        <v>-2387</v>
      </c>
      <c r="G67" s="315">
        <v>5688</v>
      </c>
      <c r="H67" s="308"/>
      <c r="I67" s="315">
        <v>-2387</v>
      </c>
      <c r="J67" s="315">
        <v>5688</v>
      </c>
      <c r="K67" s="411"/>
      <c r="L67" s="315">
        <v>-3302</v>
      </c>
      <c r="M67" s="315">
        <v>718</v>
      </c>
      <c r="N67" s="315">
        <v>-831.95399999999995</v>
      </c>
      <c r="O67" s="315">
        <v>3842.7250759503399</v>
      </c>
      <c r="P67" s="315">
        <v>-13940.827383186115</v>
      </c>
      <c r="Q67" s="308"/>
      <c r="R67" s="315">
        <v>3842.7250759503368</v>
      </c>
      <c r="S67" s="315">
        <v>-13940.82738318613</v>
      </c>
    </row>
    <row r="68" spans="1:19" x14ac:dyDescent="0.3">
      <c r="B68" s="405" t="str">
        <f>CHOOSE(LanguagePage!$C$99,LanguagePage!$C177,LanguagePage!$D177)</f>
        <v>Эффект гиперинфляции</v>
      </c>
      <c r="C68" s="315">
        <v>0</v>
      </c>
      <c r="D68" s="315">
        <v>0</v>
      </c>
      <c r="E68" s="315">
        <v>0</v>
      </c>
      <c r="F68" s="315">
        <v>0</v>
      </c>
      <c r="G68" s="315">
        <v>0</v>
      </c>
      <c r="H68" s="308"/>
      <c r="I68" s="315">
        <v>0</v>
      </c>
      <c r="J68" s="315">
        <v>0</v>
      </c>
      <c r="K68" s="304"/>
      <c r="L68" s="315">
        <v>0</v>
      </c>
      <c r="M68" s="315">
        <v>0</v>
      </c>
      <c r="N68" s="315">
        <v>0</v>
      </c>
      <c r="O68" s="315">
        <v>0</v>
      </c>
      <c r="P68" s="315">
        <v>0</v>
      </c>
      <c r="Q68" s="308"/>
      <c r="R68" s="315">
        <v>0</v>
      </c>
      <c r="S68" s="315">
        <v>0</v>
      </c>
    </row>
    <row r="69" spans="1:19" ht="14.4" thickBot="1" x14ac:dyDescent="0.35">
      <c r="B69" s="406" t="str">
        <f>CHOOSE(LanguagePage!$C$99,LanguagePage!$C178,LanguagePage!$D178)</f>
        <v>Денежные средства и их эквиваленты на конец периода</v>
      </c>
      <c r="C69" s="400">
        <f>C66+C65+C67+C68</f>
        <v>43112</v>
      </c>
      <c r="D69" s="400">
        <f>D66+D65+D67+D68</f>
        <v>42852</v>
      </c>
      <c r="E69" s="400">
        <f>E66+E65+E67+E68</f>
        <v>130402</v>
      </c>
      <c r="F69" s="400">
        <f>F66+F65+F67+F68</f>
        <v>194378</v>
      </c>
      <c r="G69" s="400">
        <f>G66+G65+G67+G68</f>
        <v>241510</v>
      </c>
      <c r="H69" s="325"/>
      <c r="I69" s="400">
        <f>I66+I65+I67+I68</f>
        <v>194378</v>
      </c>
      <c r="J69" s="400">
        <f>J66+J65+J67+J68</f>
        <v>241510</v>
      </c>
      <c r="K69" s="304"/>
      <c r="L69" s="400">
        <f>C69/2.0053</f>
        <v>21499.027576921158</v>
      </c>
      <c r="M69" s="400">
        <f>D69/1.9336</f>
        <v>22161.770790235831</v>
      </c>
      <c r="N69" s="400">
        <f>E69/1.9898</f>
        <v>65535.229671323752</v>
      </c>
      <c r="O69" s="400">
        <f>F69/2.0433</f>
        <v>95129.447462438213</v>
      </c>
      <c r="P69" s="400">
        <f>G69/2.4008</f>
        <v>100595.63478840387</v>
      </c>
      <c r="Q69" s="325"/>
      <c r="R69" s="400">
        <f>I69/2.0433</f>
        <v>95129.447462438213</v>
      </c>
      <c r="S69" s="400">
        <f>J69/2.4008</f>
        <v>100595.63478840387</v>
      </c>
    </row>
    <row r="70" spans="1:19" ht="14.4" thickTop="1" x14ac:dyDescent="0.3">
      <c r="C70" s="7"/>
      <c r="N70" s="229"/>
      <c r="O70" s="229"/>
      <c r="P70" s="229"/>
      <c r="Q70" s="229"/>
      <c r="R70" s="229"/>
      <c r="S70" s="229"/>
    </row>
    <row r="71" spans="1:19" ht="13.8" customHeight="1" x14ac:dyDescent="0.3">
      <c r="C71" s="7"/>
      <c r="L71" s="212"/>
      <c r="M71" s="212"/>
      <c r="N71" s="229"/>
      <c r="O71" s="229"/>
      <c r="P71" s="229"/>
      <c r="Q71" s="229"/>
      <c r="R71" s="229"/>
      <c r="S71" s="229"/>
    </row>
    <row r="72" spans="1:19" x14ac:dyDescent="0.3">
      <c r="C72" s="7"/>
      <c r="D72" s="229"/>
      <c r="N72" s="229"/>
      <c r="O72" s="229"/>
      <c r="P72" s="229"/>
      <c r="Q72" s="229"/>
      <c r="R72" s="229"/>
      <c r="S72" s="229"/>
    </row>
  </sheetData>
  <mergeCells count="5">
    <mergeCell ref="B2:I2"/>
    <mergeCell ref="C4:J4"/>
    <mergeCell ref="L4:S4"/>
    <mergeCell ref="I5:J5"/>
    <mergeCell ref="C5:G5"/>
  </mergeCells>
  <hyperlinks>
    <hyperlink ref="B4" location="Contents!A1" display="Contents!A1" xr:uid="{00000000-0004-0000-0600-000000000000}"/>
    <hyperlink ref="S2" location="Contents!A1" display="Contents!A1" xr:uid="{00000000-0004-0000-0600-000001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Contents</vt:lpstr>
      <vt:lpstr>LanguagePage</vt:lpstr>
      <vt:lpstr>Financial Highlights</vt:lpstr>
      <vt:lpstr>FY_IFRS_PL</vt:lpstr>
      <vt:lpstr>HY_IFRS_PL</vt:lpstr>
      <vt:lpstr>FY_IFRS_BS</vt:lpstr>
      <vt:lpstr>HY_IFRS_BS</vt:lpstr>
      <vt:lpstr>FY_IFRS_CF</vt:lpstr>
      <vt:lpstr>HY_IFRS_CF</vt:lpstr>
      <vt:lpstr>FY_IFRS_EBITDA</vt:lpstr>
      <vt:lpstr>HY_IFRS_EBITDA</vt:lpstr>
      <vt:lpstr>FY_IFRS_Debt</vt:lpstr>
      <vt:lpstr>HY_IFRS_Debt</vt:lpstr>
      <vt:lpstr>Operating Highlights</vt:lpstr>
      <vt:lpstr>С161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Шакун</dc:creator>
  <cp:lastModifiedBy>User</cp:lastModifiedBy>
  <dcterms:created xsi:type="dcterms:W3CDTF">2017-11-16T10:44:03Z</dcterms:created>
  <dcterms:modified xsi:type="dcterms:W3CDTF">2021-05-05T13:34:17Z</dcterms:modified>
</cp:coreProperties>
</file>